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5480" windowHeight="8640" tabRatio="782"/>
  </bookViews>
  <sheets>
    <sheet name="Finacial Data" sheetId="1" r:id="rId1"/>
    <sheet name="Arcelor and Mittal in detail" sheetId="5" r:id="rId2"/>
    <sheet name="Summed Company request data" sheetId="3" r:id="rId3"/>
    <sheet name="New company requested data" sheetId="4" r:id="rId4"/>
    <sheet name="WACC calculation" sheetId="6" r:id="rId5"/>
    <sheet name="WACC projection" sheetId="10" r:id="rId6"/>
    <sheet name="Projection-Future CF SUMCOMPANY" sheetId="8" r:id="rId7"/>
    <sheet name="Projection-Future CF- AM " sheetId="7" r:id="rId8"/>
    <sheet name="Incremental CF" sheetId="11" r:id="rId9"/>
    <sheet name="Synergies" sheetId="12" r:id="rId10"/>
  </sheets>
  <calcPr calcId="125725" iterate="1" iterateCount="2000"/>
</workbook>
</file>

<file path=xl/calcChain.xml><?xml version="1.0" encoding="utf-8"?>
<calcChain xmlns="http://schemas.openxmlformats.org/spreadsheetml/2006/main">
  <c r="F22" i="8"/>
  <c r="D4"/>
  <c r="C37" i="12"/>
  <c r="D14"/>
  <c r="C14"/>
  <c r="E36" i="5"/>
  <c r="D7" i="12"/>
  <c r="E7"/>
  <c r="F7"/>
  <c r="G7"/>
  <c r="H7"/>
  <c r="I7"/>
  <c r="J7"/>
  <c r="K7"/>
  <c r="L7"/>
  <c r="M7"/>
  <c r="N7"/>
  <c r="C8" i="8"/>
  <c r="E27" i="5"/>
  <c r="E13"/>
  <c r="E8" i="6"/>
  <c r="E45" i="5"/>
  <c r="E37"/>
  <c r="E23" i="6"/>
  <c r="E30" i="5"/>
  <c r="E31"/>
  <c r="E43"/>
  <c r="E20" i="6"/>
  <c r="D4" i="12"/>
  <c r="E4"/>
  <c r="F4"/>
  <c r="G4"/>
  <c r="H4"/>
  <c r="I4"/>
  <c r="J4"/>
  <c r="K4"/>
  <c r="L4"/>
  <c r="M4"/>
  <c r="N4"/>
  <c r="C53" i="6"/>
  <c r="C6" i="1"/>
  <c r="E6" i="5"/>
  <c r="E7"/>
  <c r="D4" i="11"/>
  <c r="E4"/>
  <c r="F4"/>
  <c r="G4"/>
  <c r="H4"/>
  <c r="I4"/>
  <c r="J4"/>
  <c r="K4"/>
  <c r="L4"/>
  <c r="M4"/>
  <c r="N4"/>
  <c r="D53" i="6"/>
  <c r="E53"/>
  <c r="E20" i="3"/>
  <c r="D20"/>
  <c r="C20"/>
  <c r="C14" i="1"/>
  <c r="E14" i="5" s="1"/>
  <c r="D21" i="10"/>
  <c r="D22"/>
  <c r="D20"/>
  <c r="D6"/>
  <c r="E10" i="8"/>
  <c r="F10"/>
  <c r="C10" i="11"/>
  <c r="C13"/>
  <c r="E6" i="8"/>
  <c r="F6"/>
  <c r="G6"/>
  <c r="H6"/>
  <c r="I6"/>
  <c r="J6"/>
  <c r="K6"/>
  <c r="L6"/>
  <c r="M6"/>
  <c r="N6"/>
  <c r="O6"/>
  <c r="P6"/>
  <c r="Q6"/>
  <c r="D19" i="10"/>
  <c r="D18"/>
  <c r="D17"/>
  <c r="D16"/>
  <c r="D15"/>
  <c r="D14"/>
  <c r="D13"/>
  <c r="D12"/>
  <c r="D11"/>
  <c r="D10"/>
  <c r="D9"/>
  <c r="D8"/>
  <c r="D7"/>
  <c r="D5"/>
  <c r="D4"/>
  <c r="D13" i="8"/>
  <c r="E13"/>
  <c r="C13"/>
  <c r="C32"/>
  <c r="C30"/>
  <c r="D8"/>
  <c r="E8"/>
  <c r="F8"/>
  <c r="C8" i="11" s="1"/>
  <c r="G8" i="8"/>
  <c r="D8" i="11" s="1"/>
  <c r="H8" i="8"/>
  <c r="I8"/>
  <c r="J8"/>
  <c r="K8"/>
  <c r="L8"/>
  <c r="M8"/>
  <c r="N8"/>
  <c r="O8"/>
  <c r="P8"/>
  <c r="Q8"/>
  <c r="E10" i="7"/>
  <c r="F10"/>
  <c r="G10"/>
  <c r="H10"/>
  <c r="I10"/>
  <c r="J10"/>
  <c r="K10"/>
  <c r="L10"/>
  <c r="M10"/>
  <c r="N10"/>
  <c r="E8"/>
  <c r="E8" i="11" s="1"/>
  <c r="F8" i="7"/>
  <c r="F8" i="11" s="1"/>
  <c r="G8" i="7"/>
  <c r="G8" i="11" s="1"/>
  <c r="H8" i="7"/>
  <c r="H8" i="11" s="1"/>
  <c r="I8" i="7"/>
  <c r="I8" i="11" s="1"/>
  <c r="J8" i="7"/>
  <c r="J8" i="11" s="1"/>
  <c r="K8" i="7"/>
  <c r="K8" i="11" s="1"/>
  <c r="L8" i="7"/>
  <c r="L8" i="11" s="1"/>
  <c r="M8" i="7"/>
  <c r="M8" i="11" s="1"/>
  <c r="N8" i="7"/>
  <c r="N8" i="11" s="1"/>
  <c r="D6" i="7"/>
  <c r="D6" i="11" s="1"/>
  <c r="D7" i="7"/>
  <c r="D9"/>
  <c r="D11"/>
  <c r="C6"/>
  <c r="C6" i="11" s="1"/>
  <c r="C7" i="7"/>
  <c r="C9"/>
  <c r="C11"/>
  <c r="C12" s="1"/>
  <c r="E5"/>
  <c r="C35"/>
  <c r="C34"/>
  <c r="C41" i="6"/>
  <c r="D41"/>
  <c r="E41"/>
  <c r="C18"/>
  <c r="D18"/>
  <c r="E18"/>
  <c r="C3"/>
  <c r="D3"/>
  <c r="E3"/>
  <c r="G14" i="1"/>
  <c r="E14"/>
  <c r="I6"/>
  <c r="J7"/>
  <c r="I7"/>
  <c r="H7"/>
  <c r="D7"/>
  <c r="F4" i="8"/>
  <c r="G4"/>
  <c r="H4"/>
  <c r="I4"/>
  <c r="J4"/>
  <c r="K4"/>
  <c r="L4"/>
  <c r="M4"/>
  <c r="N4"/>
  <c r="O4"/>
  <c r="P4"/>
  <c r="Q4"/>
  <c r="E9" i="4"/>
  <c r="E42" i="6"/>
  <c r="E45"/>
  <c r="E14" i="4"/>
  <c r="D14"/>
  <c r="D4" i="7"/>
  <c r="E4"/>
  <c r="F4"/>
  <c r="G4"/>
  <c r="H4"/>
  <c r="I4"/>
  <c r="J4"/>
  <c r="K4"/>
  <c r="L4"/>
  <c r="M4"/>
  <c r="N4"/>
  <c r="G27" i="1"/>
  <c r="F27"/>
  <c r="E27"/>
  <c r="G25"/>
  <c r="E5" i="4"/>
  <c r="D13" i="7"/>
  <c r="D5" i="4"/>
  <c r="C13" i="7"/>
  <c r="C5" i="4"/>
  <c r="C9"/>
  <c r="C42" i="6"/>
  <c r="C14" i="4"/>
  <c r="J14" i="1"/>
  <c r="J9"/>
  <c r="I14"/>
  <c r="F14"/>
  <c r="C38" i="5"/>
  <c r="D38"/>
  <c r="D14" i="1"/>
  <c r="E38" i="5" s="1"/>
  <c r="C33"/>
  <c r="C19" i="6"/>
  <c r="C22"/>
  <c r="D33" i="5"/>
  <c r="D19" i="6"/>
  <c r="D22"/>
  <c r="D9" i="1"/>
  <c r="E33" i="5"/>
  <c r="E19" i="6"/>
  <c r="E22"/>
  <c r="D13" i="4"/>
  <c r="D46" i="6"/>
  <c r="E13" i="4"/>
  <c r="E46" i="6"/>
  <c r="C13" i="4"/>
  <c r="C46" i="6"/>
  <c r="D37" i="5"/>
  <c r="D23" i="6"/>
  <c r="C37" i="5"/>
  <c r="C23" i="6"/>
  <c r="D13" i="5"/>
  <c r="D8" i="6"/>
  <c r="D13" i="3"/>
  <c r="C13" i="5"/>
  <c r="C8" i="6"/>
  <c r="C13" i="3"/>
  <c r="C21"/>
  <c r="E19" i="4"/>
  <c r="E43" i="6"/>
  <c r="D9" i="4"/>
  <c r="D42" i="6"/>
  <c r="D45"/>
  <c r="J16" i="1"/>
  <c r="I25"/>
  <c r="I15"/>
  <c r="I16"/>
  <c r="H16"/>
  <c r="G15"/>
  <c r="H14"/>
  <c r="H9"/>
  <c r="H32"/>
  <c r="J13"/>
  <c r="H13"/>
  <c r="G13"/>
  <c r="F13"/>
  <c r="E13"/>
  <c r="D13"/>
  <c r="C14" i="5"/>
  <c r="C14" i="3"/>
  <c r="D14" i="5"/>
  <c r="C25" i="1"/>
  <c r="C27"/>
  <c r="C13"/>
  <c r="C47" i="5"/>
  <c r="D7" i="4"/>
  <c r="D19"/>
  <c r="D43" i="6"/>
  <c r="C7" i="4"/>
  <c r="C19"/>
  <c r="C43" i="6"/>
  <c r="J4" i="1"/>
  <c r="I10"/>
  <c r="I8"/>
  <c r="I9"/>
  <c r="I4"/>
  <c r="I5"/>
  <c r="I3"/>
  <c r="H24"/>
  <c r="G12"/>
  <c r="G10"/>
  <c r="G8"/>
  <c r="C3"/>
  <c r="E3" i="5"/>
  <c r="E3" i="3"/>
  <c r="D5" i="8"/>
  <c r="E3" i="1"/>
  <c r="F3"/>
  <c r="G3"/>
  <c r="C4"/>
  <c r="E4"/>
  <c r="C5"/>
  <c r="E5"/>
  <c r="F5"/>
  <c r="F4"/>
  <c r="G5"/>
  <c r="G4"/>
  <c r="C7"/>
  <c r="E6"/>
  <c r="E7"/>
  <c r="F6"/>
  <c r="F7"/>
  <c r="G6"/>
  <c r="G7"/>
  <c r="G24"/>
  <c r="G28"/>
  <c r="C8"/>
  <c r="C9"/>
  <c r="E9" i="5"/>
  <c r="E4" i="6"/>
  <c r="E7"/>
  <c r="E8" i="1"/>
  <c r="E9"/>
  <c r="F8"/>
  <c r="F9"/>
  <c r="F20"/>
  <c r="C10"/>
  <c r="C22"/>
  <c r="C11"/>
  <c r="E10"/>
  <c r="F10"/>
  <c r="D11"/>
  <c r="E11"/>
  <c r="F11"/>
  <c r="G11"/>
  <c r="C12"/>
  <c r="E12" i="5" s="1"/>
  <c r="E12" i="1"/>
  <c r="F12"/>
  <c r="C15"/>
  <c r="E17" i="5"/>
  <c r="C16" i="1"/>
  <c r="C30"/>
  <c r="D15"/>
  <c r="E15"/>
  <c r="F15"/>
  <c r="F16"/>
  <c r="F30"/>
  <c r="D16"/>
  <c r="E16"/>
  <c r="C17"/>
  <c r="D17"/>
  <c r="E17"/>
  <c r="C18"/>
  <c r="D18"/>
  <c r="E18"/>
  <c r="F18"/>
  <c r="G18"/>
  <c r="C19"/>
  <c r="D19"/>
  <c r="E19"/>
  <c r="D20"/>
  <c r="C21"/>
  <c r="D21"/>
  <c r="E21"/>
  <c r="F21"/>
  <c r="G21"/>
  <c r="D22"/>
  <c r="E22"/>
  <c r="F22"/>
  <c r="G22"/>
  <c r="C24"/>
  <c r="D24"/>
  <c r="E24"/>
  <c r="F24"/>
  <c r="C26"/>
  <c r="D26"/>
  <c r="E26"/>
  <c r="C28"/>
  <c r="D28"/>
  <c r="E28"/>
  <c r="F28"/>
  <c r="C29"/>
  <c r="D29"/>
  <c r="E29"/>
  <c r="D30"/>
  <c r="E30"/>
  <c r="C31"/>
  <c r="D31"/>
  <c r="E31"/>
  <c r="F31"/>
  <c r="G31"/>
  <c r="D32"/>
  <c r="C18" i="5"/>
  <c r="C18" i="3"/>
  <c r="C12" i="5"/>
  <c r="C15"/>
  <c r="C12" i="3"/>
  <c r="C10" i="5"/>
  <c r="C10" i="3"/>
  <c r="C8" i="5"/>
  <c r="C8" i="3"/>
  <c r="C9" i="5"/>
  <c r="C4" i="6"/>
  <c r="C7"/>
  <c r="C6" i="5"/>
  <c r="C6" i="3"/>
  <c r="C7" i="5"/>
  <c r="C4"/>
  <c r="C4" i="3"/>
  <c r="C5" i="5"/>
  <c r="C5" i="3"/>
  <c r="D17" i="5"/>
  <c r="D17" i="3"/>
  <c r="C3" i="5"/>
  <c r="C3" i="3"/>
  <c r="D18" i="5"/>
  <c r="D18" i="3"/>
  <c r="E18" i="5"/>
  <c r="E19" s="1"/>
  <c r="E18" i="3"/>
  <c r="C17" i="5"/>
  <c r="C17" i="3"/>
  <c r="D14"/>
  <c r="D12" i="5"/>
  <c r="D12" i="3"/>
  <c r="D8" i="5"/>
  <c r="D8" i="3"/>
  <c r="D9" i="5"/>
  <c r="D4" i="6"/>
  <c r="D7"/>
  <c r="D9" i="3"/>
  <c r="D10" i="5"/>
  <c r="D10" i="3"/>
  <c r="D6" i="5"/>
  <c r="D7"/>
  <c r="D19"/>
  <c r="D5" i="6"/>
  <c r="D4" i="5"/>
  <c r="D4" i="3"/>
  <c r="D5" i="5"/>
  <c r="D5" i="3"/>
  <c r="D3" i="5"/>
  <c r="D3" i="3" s="1"/>
  <c r="C5" i="8" s="1"/>
  <c r="D30" i="5"/>
  <c r="D31"/>
  <c r="D43"/>
  <c r="D20" i="6"/>
  <c r="D46" i="5"/>
  <c r="C31"/>
  <c r="C7" i="3"/>
  <c r="C19"/>
  <c r="C43" i="5"/>
  <c r="C20" i="6"/>
  <c r="C46" i="5"/>
  <c r="G17" i="1"/>
  <c r="G19"/>
  <c r="G26"/>
  <c r="G29"/>
  <c r="F17"/>
  <c r="F19"/>
  <c r="F26"/>
  <c r="F29"/>
  <c r="C19" i="5"/>
  <c r="C5" i="6"/>
  <c r="C22" i="5"/>
  <c r="D22"/>
  <c r="D15" i="4"/>
  <c r="E15"/>
  <c r="D15" i="7" s="1"/>
  <c r="C15" i="4"/>
  <c r="D11"/>
  <c r="E11"/>
  <c r="C11"/>
  <c r="C23" s="1"/>
  <c r="D15" i="5"/>
  <c r="D11"/>
  <c r="D23"/>
  <c r="C11"/>
  <c r="C23"/>
  <c r="D47"/>
  <c r="I12" i="1"/>
  <c r="D39" i="5"/>
  <c r="C39"/>
  <c r="C15" i="3" s="1"/>
  <c r="D35" i="5"/>
  <c r="C35"/>
  <c r="C11" i="3"/>
  <c r="C23"/>
  <c r="H30" i="1"/>
  <c r="J30"/>
  <c r="J26"/>
  <c r="J24"/>
  <c r="E28" i="5"/>
  <c r="E29"/>
  <c r="E32"/>
  <c r="E34"/>
  <c r="E4"/>
  <c r="E4" i="3"/>
  <c r="E5" i="5"/>
  <c r="E5" i="3"/>
  <c r="E8" i="5"/>
  <c r="E8" i="3"/>
  <c r="E10" i="5"/>
  <c r="E10" i="3"/>
  <c r="H11" i="1"/>
  <c r="I11"/>
  <c r="J11"/>
  <c r="H28"/>
  <c r="J28"/>
  <c r="J29"/>
  <c r="H26"/>
  <c r="H29"/>
  <c r="H22"/>
  <c r="I22"/>
  <c r="J22"/>
  <c r="H21"/>
  <c r="I21"/>
  <c r="J21"/>
  <c r="J20"/>
  <c r="H20"/>
  <c r="J19"/>
  <c r="I19"/>
  <c r="H19"/>
  <c r="H18"/>
  <c r="I18"/>
  <c r="J18"/>
  <c r="H17"/>
  <c r="J17"/>
  <c r="H31"/>
  <c r="I31"/>
  <c r="J31"/>
  <c r="D23" i="4"/>
  <c r="E23"/>
  <c r="E22"/>
  <c r="E11" i="5"/>
  <c r="E35"/>
  <c r="E47"/>
  <c r="E23"/>
  <c r="E11" i="3"/>
  <c r="C32" i="1"/>
  <c r="C20"/>
  <c r="E13" i="3"/>
  <c r="D11"/>
  <c r="D6"/>
  <c r="E23"/>
  <c r="G9" i="1"/>
  <c r="G20"/>
  <c r="I20"/>
  <c r="G10" i="8"/>
  <c r="D10" i="11" s="1"/>
  <c r="F13" i="8"/>
  <c r="C9" i="3"/>
  <c r="E6" i="7"/>
  <c r="E6" i="11" s="1"/>
  <c r="F6" i="7"/>
  <c r="F6" i="11" s="1"/>
  <c r="G6" i="7"/>
  <c r="G6" i="11" s="1"/>
  <c r="H6" i="7"/>
  <c r="H6" i="11" s="1"/>
  <c r="D7" i="3"/>
  <c r="J32" i="1"/>
  <c r="F32"/>
  <c r="G32"/>
  <c r="E20"/>
  <c r="E32"/>
  <c r="I17"/>
  <c r="G16"/>
  <c r="G30"/>
  <c r="I30"/>
  <c r="H10" i="8"/>
  <c r="G13"/>
  <c r="F5" i="7"/>
  <c r="I6"/>
  <c r="I6" i="11" s="1"/>
  <c r="J6" i="7"/>
  <c r="J6" i="11" s="1"/>
  <c r="K6" i="7"/>
  <c r="K6" i="11" s="1"/>
  <c r="L6" i="7"/>
  <c r="L6" i="11" s="1"/>
  <c r="M6" i="7"/>
  <c r="M6" i="11" s="1"/>
  <c r="N6" i="7"/>
  <c r="N6" i="11" s="1"/>
  <c r="D23" i="3"/>
  <c r="C22" i="4"/>
  <c r="D22"/>
  <c r="D19" i="3"/>
  <c r="I10" i="8"/>
  <c r="H13"/>
  <c r="F7" i="7"/>
  <c r="F9"/>
  <c r="F11"/>
  <c r="G5"/>
  <c r="E7"/>
  <c r="E9"/>
  <c r="E11"/>
  <c r="J10" i="8"/>
  <c r="I13"/>
  <c r="G7" i="7"/>
  <c r="G9"/>
  <c r="G11"/>
  <c r="H5"/>
  <c r="K10" i="8"/>
  <c r="J13"/>
  <c r="H7" i="7"/>
  <c r="H9"/>
  <c r="H11"/>
  <c r="I5"/>
  <c r="L10" i="8"/>
  <c r="K13"/>
  <c r="I7" i="7"/>
  <c r="I9"/>
  <c r="I11"/>
  <c r="J5"/>
  <c r="M10" i="8"/>
  <c r="N10"/>
  <c r="L13"/>
  <c r="J7" i="7"/>
  <c r="J9"/>
  <c r="J11"/>
  <c r="K5"/>
  <c r="M13" i="8"/>
  <c r="K7" i="7"/>
  <c r="K9"/>
  <c r="K11"/>
  <c r="L5"/>
  <c r="L7"/>
  <c r="L9"/>
  <c r="L11"/>
  <c r="M5"/>
  <c r="M7"/>
  <c r="M9"/>
  <c r="M11"/>
  <c r="N5"/>
  <c r="N7"/>
  <c r="N9"/>
  <c r="N11"/>
  <c r="N12" s="1"/>
  <c r="D21" i="3"/>
  <c r="E21"/>
  <c r="O10" i="8"/>
  <c r="N13"/>
  <c r="D15" i="3"/>
  <c r="P10" i="8"/>
  <c r="O13"/>
  <c r="C14"/>
  <c r="D22" i="3"/>
  <c r="Q10" i="8"/>
  <c r="Q13"/>
  <c r="P13"/>
  <c r="C12" i="6"/>
  <c r="C13"/>
  <c r="C34"/>
  <c r="E17" i="3"/>
  <c r="E9"/>
  <c r="C27" i="6"/>
  <c r="C28"/>
  <c r="C36"/>
  <c r="E7" i="3"/>
  <c r="E6"/>
  <c r="D50" i="6"/>
  <c r="D51"/>
  <c r="C21"/>
  <c r="C29"/>
  <c r="E19" i="3"/>
  <c r="C35" i="6"/>
  <c r="C40" i="5"/>
  <c r="C6" i="6"/>
  <c r="C14"/>
  <c r="C44"/>
  <c r="C16" i="5"/>
  <c r="C33" i="6"/>
  <c r="C37"/>
  <c r="C16" i="3"/>
  <c r="C45" i="6"/>
  <c r="D12"/>
  <c r="D13"/>
  <c r="D34"/>
  <c r="E34"/>
  <c r="E36"/>
  <c r="E27"/>
  <c r="E28"/>
  <c r="D36"/>
  <c r="D27"/>
  <c r="D28"/>
  <c r="E13" i="7"/>
  <c r="F13"/>
  <c r="G13"/>
  <c r="H13"/>
  <c r="I13"/>
  <c r="J13"/>
  <c r="K13"/>
  <c r="L13"/>
  <c r="M13"/>
  <c r="N13"/>
  <c r="C37"/>
  <c r="E50" i="6"/>
  <c r="E51"/>
  <c r="D6"/>
  <c r="E21"/>
  <c r="D21"/>
  <c r="E44"/>
  <c r="D44"/>
  <c r="D52"/>
  <c r="D16" i="4"/>
  <c r="E54" i="6"/>
  <c r="E55"/>
  <c r="E56"/>
  <c r="I12" i="10"/>
  <c r="D54" i="6"/>
  <c r="D55"/>
  <c r="D56"/>
  <c r="I11" i="10"/>
  <c r="D7" i="8"/>
  <c r="C14" i="7"/>
  <c r="C50" i="6"/>
  <c r="C51"/>
  <c r="C52"/>
  <c r="C16" i="4"/>
  <c r="C54" i="6"/>
  <c r="C55"/>
  <c r="C56"/>
  <c r="D9" i="8"/>
  <c r="C40" i="10"/>
  <c r="J11"/>
  <c r="D40"/>
  <c r="D18" i="7"/>
  <c r="J12" i="10"/>
  <c r="E52" i="6"/>
  <c r="E16" i="4"/>
  <c r="D29" i="6"/>
  <c r="E29"/>
  <c r="D14"/>
  <c r="D33"/>
  <c r="D16" i="5"/>
  <c r="E35" i="6"/>
  <c r="E40" i="5"/>
  <c r="D35" i="6"/>
  <c r="D40" i="5"/>
  <c r="D43" i="12"/>
  <c r="D18" i="11"/>
  <c r="C19" i="7"/>
  <c r="C18"/>
  <c r="C43" i="12"/>
  <c r="C19" i="11"/>
  <c r="D19"/>
  <c r="D11" i="8"/>
  <c r="J13" i="10"/>
  <c r="I13"/>
  <c r="E40"/>
  <c r="E18" i="7"/>
  <c r="J14" i="10"/>
  <c r="D12" i="8"/>
  <c r="C44" i="12"/>
  <c r="D19" i="7"/>
  <c r="D37" i="6"/>
  <c r="C28" i="10"/>
  <c r="D16" i="3"/>
  <c r="D44" i="12"/>
  <c r="E19" i="7"/>
  <c r="I14" i="10"/>
  <c r="F40"/>
  <c r="F18" i="7"/>
  <c r="J15" i="10"/>
  <c r="E43" i="12"/>
  <c r="E18" i="11"/>
  <c r="E19"/>
  <c r="I15" i="10"/>
  <c r="G40"/>
  <c r="G18" i="7"/>
  <c r="J16" i="10"/>
  <c r="F43" i="12"/>
  <c r="F18" i="11"/>
  <c r="E44" i="12"/>
  <c r="F19" i="7"/>
  <c r="F8" i="10"/>
  <c r="G8"/>
  <c r="C18" i="8"/>
  <c r="F19" i="11"/>
  <c r="F44" i="12"/>
  <c r="G19" i="7"/>
  <c r="I16" i="10"/>
  <c r="H40"/>
  <c r="H18" i="7"/>
  <c r="J17" i="10"/>
  <c r="G43" i="12"/>
  <c r="G18" i="11"/>
  <c r="G19"/>
  <c r="I17" i="10"/>
  <c r="C43"/>
  <c r="I18" i="7"/>
  <c r="J18" i="10"/>
  <c r="H43" i="12"/>
  <c r="H18" i="11"/>
  <c r="G44" i="12"/>
  <c r="H19" i="7"/>
  <c r="H19" i="11"/>
  <c r="H44" i="12"/>
  <c r="I19" i="7"/>
  <c r="I18" i="10"/>
  <c r="D43"/>
  <c r="J18" i="7"/>
  <c r="J19" i="10"/>
  <c r="I43" i="12"/>
  <c r="I18" i="11"/>
  <c r="I19"/>
  <c r="I19" i="10"/>
  <c r="E43"/>
  <c r="K18" i="7"/>
  <c r="J20" i="10"/>
  <c r="J43" i="12"/>
  <c r="J18" i="11"/>
  <c r="I44" i="12"/>
  <c r="J19" i="7"/>
  <c r="J19" i="11"/>
  <c r="J44" i="12"/>
  <c r="K19" i="7"/>
  <c r="I20" i="10"/>
  <c r="F43"/>
  <c r="L18" i="7"/>
  <c r="J21" i="10"/>
  <c r="K43" i="12"/>
  <c r="K18" i="11"/>
  <c r="K19"/>
  <c r="I21" i="10"/>
  <c r="G43"/>
  <c r="M18" i="7"/>
  <c r="J22" i="10"/>
  <c r="I22"/>
  <c r="H43"/>
  <c r="L43" i="12"/>
  <c r="L18" i="11"/>
  <c r="K44" i="12"/>
  <c r="L19" i="7"/>
  <c r="L19" i="11"/>
  <c r="N18" i="7"/>
  <c r="N43" i="12" s="1"/>
  <c r="L44"/>
  <c r="M19" i="7"/>
  <c r="N18" i="11"/>
  <c r="M43" i="12"/>
  <c r="M18" i="11"/>
  <c r="M19"/>
  <c r="N19"/>
  <c r="M44" i="12"/>
  <c r="N19" i="7"/>
  <c r="N44" i="12"/>
  <c r="C15" i="7" l="1"/>
  <c r="N10" i="11"/>
  <c r="N13" s="1"/>
  <c r="M10"/>
  <c r="M13" s="1"/>
  <c r="L10"/>
  <c r="L13" s="1"/>
  <c r="K10"/>
  <c r="K13" s="1"/>
  <c r="J10"/>
  <c r="J13" s="1"/>
  <c r="I10"/>
  <c r="I13" s="1"/>
  <c r="H10"/>
  <c r="H13" s="1"/>
  <c r="G10"/>
  <c r="G13" s="1"/>
  <c r="F10"/>
  <c r="F13" s="1"/>
  <c r="E10"/>
  <c r="E13" s="1"/>
  <c r="D13"/>
  <c r="C33"/>
  <c r="C22" i="3"/>
  <c r="C15" i="8"/>
  <c r="D25" i="12"/>
  <c r="C25"/>
  <c r="E5" i="8"/>
  <c r="C29"/>
  <c r="C7"/>
  <c r="C9" s="1"/>
  <c r="C11" s="1"/>
  <c r="E5" i="6"/>
  <c r="E22" i="5"/>
  <c r="E15"/>
  <c r="E12" i="3"/>
  <c r="E39" i="5"/>
  <c r="E46"/>
  <c r="C31" i="11"/>
  <c r="E14" i="3"/>
  <c r="N16" i="12"/>
  <c r="N14"/>
  <c r="M12" i="7"/>
  <c r="M14" i="12"/>
  <c r="L12" i="7"/>
  <c r="L14" i="12"/>
  <c r="K12" i="7"/>
  <c r="K14" i="12"/>
  <c r="J12" i="7"/>
  <c r="J14" i="12"/>
  <c r="I12" i="7"/>
  <c r="I14" i="12"/>
  <c r="H12" i="7"/>
  <c r="H14" i="12"/>
  <c r="G12" i="7"/>
  <c r="E12"/>
  <c r="G14" i="12"/>
  <c r="F12" i="7"/>
  <c r="F14" i="12"/>
  <c r="E14"/>
  <c r="C16" i="7"/>
  <c r="C20" s="1"/>
  <c r="C16" i="12"/>
  <c r="D12" i="7"/>
  <c r="D14"/>
  <c r="E14" l="1"/>
  <c r="D16"/>
  <c r="D20" s="1"/>
  <c r="D16" i="12"/>
  <c r="C36" i="7"/>
  <c r="F16" i="12"/>
  <c r="E16"/>
  <c r="G16"/>
  <c r="H16"/>
  <c r="I16"/>
  <c r="J16"/>
  <c r="K16"/>
  <c r="L16"/>
  <c r="M16"/>
  <c r="E12" i="6"/>
  <c r="E13" s="1"/>
  <c r="E6"/>
  <c r="C12" i="8"/>
  <c r="C16" s="1"/>
  <c r="C31"/>
  <c r="F5"/>
  <c r="E7"/>
  <c r="E9" s="1"/>
  <c r="E11" s="1"/>
  <c r="E12" s="1"/>
  <c r="E15" i="3"/>
  <c r="D14" i="8" l="1"/>
  <c r="E22" i="3"/>
  <c r="C5" i="12"/>
  <c r="C5" i="11"/>
  <c r="F7" i="8"/>
  <c r="G5"/>
  <c r="E15" i="7"/>
  <c r="F14"/>
  <c r="E14" i="6"/>
  <c r="E33" l="1"/>
  <c r="E37" s="1"/>
  <c r="E16" i="5"/>
  <c r="F15" i="7"/>
  <c r="G14"/>
  <c r="E25" i="12"/>
  <c r="E16" i="7"/>
  <c r="E20" s="1"/>
  <c r="D5" i="12"/>
  <c r="D5" i="11"/>
  <c r="C30" s="1"/>
  <c r="G7" i="8"/>
  <c r="H5"/>
  <c r="F9"/>
  <c r="C7" i="11"/>
  <c r="E14" i="8"/>
  <c r="D15"/>
  <c r="D16" s="1"/>
  <c r="F14" l="1"/>
  <c r="E15"/>
  <c r="E16" s="1"/>
  <c r="F11"/>
  <c r="C9" i="11"/>
  <c r="H7" i="8"/>
  <c r="I5"/>
  <c r="E5" i="12"/>
  <c r="E5" i="11"/>
  <c r="G9" i="8"/>
  <c r="D7" i="11"/>
  <c r="G15" i="7"/>
  <c r="H14"/>
  <c r="F25" i="12"/>
  <c r="F16" i="7"/>
  <c r="F20" s="1"/>
  <c r="D28" i="10"/>
  <c r="E16" i="3"/>
  <c r="F9" i="10" l="1"/>
  <c r="G9" s="1"/>
  <c r="G10" s="1"/>
  <c r="D18" i="8"/>
  <c r="H15" i="7"/>
  <c r="I14"/>
  <c r="G25" i="12"/>
  <c r="G16" i="7"/>
  <c r="G20" s="1"/>
  <c r="G11" i="8"/>
  <c r="D9" i="11"/>
  <c r="I7" i="8"/>
  <c r="J5"/>
  <c r="F5" i="12"/>
  <c r="F5" i="11"/>
  <c r="H9" i="8"/>
  <c r="E7" i="11"/>
  <c r="C6" i="12"/>
  <c r="C8" s="1"/>
  <c r="F12" i="8"/>
  <c r="C11" i="11"/>
  <c r="C12" s="1"/>
  <c r="F15" i="8"/>
  <c r="G14"/>
  <c r="C14" i="11"/>
  <c r="G15" i="8" l="1"/>
  <c r="H14"/>
  <c r="D14" i="11"/>
  <c r="C26" i="12"/>
  <c r="C27" s="1"/>
  <c r="C29" s="1"/>
  <c r="C15" i="11"/>
  <c r="C15" i="12"/>
  <c r="C17" s="1"/>
  <c r="C19" s="1"/>
  <c r="C9"/>
  <c r="H11" i="8"/>
  <c r="E9" i="11"/>
  <c r="J7" i="8"/>
  <c r="K5"/>
  <c r="G5" i="12"/>
  <c r="G5" i="11"/>
  <c r="I9" i="8"/>
  <c r="F7" i="11"/>
  <c r="D6" i="12"/>
  <c r="D8" s="1"/>
  <c r="G12" i="8"/>
  <c r="G16" s="1"/>
  <c r="D11" i="11"/>
  <c r="I15" i="7"/>
  <c r="J14"/>
  <c r="H25" i="12"/>
  <c r="H16" i="7"/>
  <c r="H20" s="1"/>
  <c r="G11" i="10"/>
  <c r="F10"/>
  <c r="E28" s="1"/>
  <c r="E18" i="8" s="1"/>
  <c r="C16" i="11"/>
  <c r="F16" i="8"/>
  <c r="F20" s="1"/>
  <c r="C20" i="11" l="1"/>
  <c r="G12" i="10"/>
  <c r="F11"/>
  <c r="F28" s="1"/>
  <c r="F18" i="8" s="1"/>
  <c r="C36" i="12" s="1"/>
  <c r="J15" i="7"/>
  <c r="K14"/>
  <c r="I25" i="12"/>
  <c r="I16" i="7"/>
  <c r="I20" s="1"/>
  <c r="D12" i="11"/>
  <c r="C32"/>
  <c r="D15" i="12"/>
  <c r="D17" s="1"/>
  <c r="D9"/>
  <c r="I11" i="8"/>
  <c r="F9" i="11"/>
  <c r="K7" i="8"/>
  <c r="L5"/>
  <c r="H5" i="12"/>
  <c r="H5" i="11"/>
  <c r="J9" i="8"/>
  <c r="G7" i="11"/>
  <c r="E6" i="12"/>
  <c r="E8" s="1"/>
  <c r="H12" i="8"/>
  <c r="E11" i="11"/>
  <c r="E12" s="1"/>
  <c r="C11" i="12"/>
  <c r="C22"/>
  <c r="C32" s="1"/>
  <c r="H15" i="8"/>
  <c r="I14"/>
  <c r="E14" i="11"/>
  <c r="D26" i="12"/>
  <c r="D27" s="1"/>
  <c r="D15" i="11"/>
  <c r="I15" i="8" l="1"/>
  <c r="J14"/>
  <c r="F14" i="11"/>
  <c r="E26" i="12"/>
  <c r="E27" s="1"/>
  <c r="E15" i="11"/>
  <c r="C41" i="12"/>
  <c r="C45" s="1"/>
  <c r="C34"/>
  <c r="C38" s="1"/>
  <c r="E15"/>
  <c r="E17" s="1"/>
  <c r="E9"/>
  <c r="J11" i="8"/>
  <c r="G9" i="11"/>
  <c r="L7" i="8"/>
  <c r="M5"/>
  <c r="I5" i="12"/>
  <c r="I5" i="11"/>
  <c r="K9" i="8"/>
  <c r="H7" i="11"/>
  <c r="F6" i="12"/>
  <c r="F8" s="1"/>
  <c r="I12" i="8"/>
  <c r="I16" s="1"/>
  <c r="F11" i="11"/>
  <c r="F12" s="1"/>
  <c r="D22" i="12"/>
  <c r="D32" s="1"/>
  <c r="K15" i="7"/>
  <c r="L14"/>
  <c r="J25" i="12"/>
  <c r="J16" i="7"/>
  <c r="J20" s="1"/>
  <c r="F12" i="10"/>
  <c r="G28" s="1"/>
  <c r="G18" i="8" s="1"/>
  <c r="G13" i="10"/>
  <c r="E16" i="11"/>
  <c r="H16" i="8"/>
  <c r="D16" i="11"/>
  <c r="D20" l="1"/>
  <c r="E20"/>
  <c r="F13" i="10"/>
  <c r="H28" s="1"/>
  <c r="H18" i="8" s="1"/>
  <c r="E36" i="12" s="1"/>
  <c r="G14" i="10"/>
  <c r="G19" i="8"/>
  <c r="D36" i="12"/>
  <c r="L15" i="7"/>
  <c r="M14"/>
  <c r="K25" i="12"/>
  <c r="K16" i="7"/>
  <c r="K20" s="1"/>
  <c r="D41" i="12"/>
  <c r="D45" s="1"/>
  <c r="D34"/>
  <c r="F15"/>
  <c r="F17" s="1"/>
  <c r="F9"/>
  <c r="K11" i="8"/>
  <c r="H9" i="11"/>
  <c r="M7" i="8"/>
  <c r="N5"/>
  <c r="J5" i="12"/>
  <c r="J5" i="11"/>
  <c r="L9" i="8"/>
  <c r="I7" i="11"/>
  <c r="G6" i="12"/>
  <c r="G8" s="1"/>
  <c r="J12" i="8"/>
  <c r="G11" i="11"/>
  <c r="G12" s="1"/>
  <c r="E22" i="12"/>
  <c r="E32" s="1"/>
  <c r="C48"/>
  <c r="J15" i="8"/>
  <c r="K14"/>
  <c r="G14" i="11"/>
  <c r="F26" i="12"/>
  <c r="F27" s="1"/>
  <c r="F15" i="11"/>
  <c r="F16"/>
  <c r="F20" l="1"/>
  <c r="K15" i="8"/>
  <c r="L14"/>
  <c r="H14" i="11"/>
  <c r="G26" i="12"/>
  <c r="G27" s="1"/>
  <c r="G15" i="11"/>
  <c r="E41" i="12"/>
  <c r="E45" s="1"/>
  <c r="E34"/>
  <c r="G15"/>
  <c r="G17" s="1"/>
  <c r="G9"/>
  <c r="L11" i="8"/>
  <c r="I9" i="11"/>
  <c r="N7" i="8"/>
  <c r="O5"/>
  <c r="K5" i="12"/>
  <c r="K5" i="11"/>
  <c r="M9" i="8"/>
  <c r="J7" i="11"/>
  <c r="H6" i="12"/>
  <c r="H8" s="1"/>
  <c r="K12" i="8"/>
  <c r="K16" s="1"/>
  <c r="H11" i="11"/>
  <c r="H12" s="1"/>
  <c r="F22" i="12"/>
  <c r="F32" s="1"/>
  <c r="M15" i="7"/>
  <c r="N14"/>
  <c r="L25" i="12"/>
  <c r="L16" i="7"/>
  <c r="L20" s="1"/>
  <c r="D37" i="12"/>
  <c r="H19" i="8"/>
  <c r="G20"/>
  <c r="F14" i="10"/>
  <c r="C31" s="1"/>
  <c r="I18" i="8" s="1"/>
  <c r="F36" i="12" s="1"/>
  <c r="G15" i="10"/>
  <c r="G16" i="11"/>
  <c r="J16" i="8"/>
  <c r="D38" i="12"/>
  <c r="D48"/>
  <c r="G20" i="11" l="1"/>
  <c r="F15" i="10"/>
  <c r="D31" s="1"/>
  <c r="J18" i="8" s="1"/>
  <c r="G36" i="12" s="1"/>
  <c r="G16" i="10"/>
  <c r="E37" i="12"/>
  <c r="I19" i="8"/>
  <c r="H20"/>
  <c r="D11" i="12"/>
  <c r="D29"/>
  <c r="D19"/>
  <c r="N15" i="7"/>
  <c r="M25" i="12"/>
  <c r="M16" i="7"/>
  <c r="M20" s="1"/>
  <c r="F41" i="12"/>
  <c r="F45" s="1"/>
  <c r="F34"/>
  <c r="H15"/>
  <c r="H17" s="1"/>
  <c r="H9"/>
  <c r="M11" i="8"/>
  <c r="J9" i="11"/>
  <c r="O7" i="8"/>
  <c r="P5"/>
  <c r="L5" i="12"/>
  <c r="L5" i="11"/>
  <c r="N9" i="8"/>
  <c r="K7" i="11"/>
  <c r="I6" i="12"/>
  <c r="I8" s="1"/>
  <c r="L12" i="8"/>
  <c r="I11" i="11"/>
  <c r="I12" s="1"/>
  <c r="G22" i="12"/>
  <c r="G32" s="1"/>
  <c r="L15" i="8"/>
  <c r="M14"/>
  <c r="I14" i="11"/>
  <c r="H26" i="12"/>
  <c r="H27" s="1"/>
  <c r="H15" i="11"/>
  <c r="H16"/>
  <c r="E38" i="12"/>
  <c r="E48" s="1"/>
  <c r="H20" i="11" l="1"/>
  <c r="M15" i="8"/>
  <c r="N14"/>
  <c r="J14" i="11"/>
  <c r="I26" i="12"/>
  <c r="I27" s="1"/>
  <c r="I15" i="11"/>
  <c r="G41" i="12"/>
  <c r="G45" s="1"/>
  <c r="G34"/>
  <c r="I15"/>
  <c r="I17" s="1"/>
  <c r="I9"/>
  <c r="N11" i="8"/>
  <c r="K9" i="11"/>
  <c r="P7" i="8"/>
  <c r="Q5"/>
  <c r="M5" i="12"/>
  <c r="M5" i="11"/>
  <c r="O9" i="8"/>
  <c r="L7" i="11"/>
  <c r="J6" i="12"/>
  <c r="J8" s="1"/>
  <c r="M12" i="8"/>
  <c r="M16" s="1"/>
  <c r="J11" i="11"/>
  <c r="J12" s="1"/>
  <c r="H22" i="12"/>
  <c r="H32" s="1"/>
  <c r="N25"/>
  <c r="N16" i="7"/>
  <c r="F37" i="12"/>
  <c r="J19" i="8"/>
  <c r="I20"/>
  <c r="E11" i="12"/>
  <c r="E19"/>
  <c r="E29"/>
  <c r="F16" i="10"/>
  <c r="E31" s="1"/>
  <c r="K18" i="8" s="1"/>
  <c r="H36" i="12" s="1"/>
  <c r="G17" i="10"/>
  <c r="I16" i="11"/>
  <c r="L16" i="8"/>
  <c r="F38" i="12"/>
  <c r="F48"/>
  <c r="I20" i="11" l="1"/>
  <c r="F17" i="10"/>
  <c r="F31" s="1"/>
  <c r="L18" i="8" s="1"/>
  <c r="I36" i="12" s="1"/>
  <c r="G18" i="10"/>
  <c r="G37" i="12"/>
  <c r="K19" i="8"/>
  <c r="J20"/>
  <c r="F11" i="12"/>
  <c r="F29"/>
  <c r="F19"/>
  <c r="N17" i="7"/>
  <c r="N21" s="1"/>
  <c r="N20"/>
  <c r="H41" i="12"/>
  <c r="H45" s="1"/>
  <c r="H34"/>
  <c r="J15"/>
  <c r="J17" s="1"/>
  <c r="J9"/>
  <c r="O11" i="8"/>
  <c r="L9" i="11"/>
  <c r="Q7" i="8"/>
  <c r="N5" i="12"/>
  <c r="N5" i="11"/>
  <c r="P9" i="8"/>
  <c r="M7" i="11"/>
  <c r="K6" i="12"/>
  <c r="K8" s="1"/>
  <c r="N12" i="8"/>
  <c r="K11" i="11"/>
  <c r="K12" s="1"/>
  <c r="I22" i="12"/>
  <c r="I32" s="1"/>
  <c r="N15" i="8"/>
  <c r="O14"/>
  <c r="K14" i="11"/>
  <c r="J26" i="12"/>
  <c r="J27" s="1"/>
  <c r="J15" i="11"/>
  <c r="J16"/>
  <c r="G38" i="12"/>
  <c r="G48" s="1"/>
  <c r="J20" i="11" l="1"/>
  <c r="O15" i="8"/>
  <c r="P14"/>
  <c r="L14" i="11"/>
  <c r="K26" i="12"/>
  <c r="K27" s="1"/>
  <c r="K15" i="11"/>
  <c r="I41" i="12"/>
  <c r="I45" s="1"/>
  <c r="I34"/>
  <c r="K15"/>
  <c r="K17" s="1"/>
  <c r="K9"/>
  <c r="P11" i="8"/>
  <c r="M9" i="11"/>
  <c r="Q9" i="8"/>
  <c r="N7" i="11"/>
  <c r="L6" i="12"/>
  <c r="L8" s="1"/>
  <c r="O12" i="8"/>
  <c r="O16" s="1"/>
  <c r="L11" i="11"/>
  <c r="L12" s="1"/>
  <c r="J22" i="12"/>
  <c r="J32" s="1"/>
  <c r="H37"/>
  <c r="L19" i="8"/>
  <c r="K20"/>
  <c r="G11" i="12"/>
  <c r="G19"/>
  <c r="G29"/>
  <c r="F18" i="10"/>
  <c r="G31" s="1"/>
  <c r="M18" i="8" s="1"/>
  <c r="J36" i="12" s="1"/>
  <c r="G19" i="10"/>
  <c r="K16" i="11"/>
  <c r="N16" i="8"/>
  <c r="H38" i="12"/>
  <c r="H48"/>
  <c r="C22" i="7"/>
  <c r="C24" s="1"/>
  <c r="C26" s="1"/>
  <c r="K20" i="11" l="1"/>
  <c r="F19" i="10"/>
  <c r="H31" s="1"/>
  <c r="N18" i="8" s="1"/>
  <c r="K36" i="12" s="1"/>
  <c r="G20" i="10"/>
  <c r="I37" i="12"/>
  <c r="M19" i="8"/>
  <c r="L20"/>
  <c r="H11" i="12"/>
  <c r="H29"/>
  <c r="H19"/>
  <c r="J41"/>
  <c r="J45" s="1"/>
  <c r="J34"/>
  <c r="L15"/>
  <c r="L17" s="1"/>
  <c r="L9"/>
  <c r="Q11" i="8"/>
  <c r="N9" i="11"/>
  <c r="M6" i="12"/>
  <c r="M8" s="1"/>
  <c r="P12" i="8"/>
  <c r="M11" i="11"/>
  <c r="M12" s="1"/>
  <c r="K22" i="12"/>
  <c r="K32" s="1"/>
  <c r="P15" i="8"/>
  <c r="Q14"/>
  <c r="M14" i="11"/>
  <c r="L26" i="12"/>
  <c r="L27" s="1"/>
  <c r="L15" i="11"/>
  <c r="L16"/>
  <c r="I38" i="12"/>
  <c r="I48" s="1"/>
  <c r="L20" i="11" l="1"/>
  <c r="Q15" i="8"/>
  <c r="N14" i="11"/>
  <c r="M26" i="12"/>
  <c r="M27" s="1"/>
  <c r="M15" i="11"/>
  <c r="K41" i="12"/>
  <c r="K45" s="1"/>
  <c r="K34"/>
  <c r="M15"/>
  <c r="M17" s="1"/>
  <c r="M9"/>
  <c r="N6"/>
  <c r="N8" s="1"/>
  <c r="Q12" i="8"/>
  <c r="Q16" s="1"/>
  <c r="N11" i="11"/>
  <c r="N12" s="1"/>
  <c r="L22" i="12"/>
  <c r="L32" s="1"/>
  <c r="J37"/>
  <c r="N19" i="8"/>
  <c r="M20"/>
  <c r="I11" i="12"/>
  <c r="I19"/>
  <c r="I29"/>
  <c r="F20" i="10"/>
  <c r="C34" s="1"/>
  <c r="O18" i="8" s="1"/>
  <c r="L36" i="12" s="1"/>
  <c r="G21" i="10"/>
  <c r="M16" i="11"/>
  <c r="P16" i="8"/>
  <c r="J38" i="12"/>
  <c r="J48"/>
  <c r="M20" i="11" l="1"/>
  <c r="F21" i="10"/>
  <c r="D34" s="1"/>
  <c r="P18" i="8" s="1"/>
  <c r="M36" i="12" s="1"/>
  <c r="G22" i="10"/>
  <c r="F22" s="1"/>
  <c r="E34" s="1"/>
  <c r="Q18" i="8" s="1"/>
  <c r="N36" i="12" s="1"/>
  <c r="K37"/>
  <c r="O19" i="8"/>
  <c r="N20"/>
  <c r="J11" i="12"/>
  <c r="J29"/>
  <c r="J19"/>
  <c r="L41"/>
  <c r="L45" s="1"/>
  <c r="L34"/>
  <c r="Q17" i="8"/>
  <c r="N15" i="12"/>
  <c r="N17" s="1"/>
  <c r="N9"/>
  <c r="M22"/>
  <c r="M32" s="1"/>
  <c r="N26"/>
  <c r="N27" s="1"/>
  <c r="N28" s="1"/>
  <c r="N15" i="11"/>
  <c r="N16"/>
  <c r="K38" i="12"/>
  <c r="K48" s="1"/>
  <c r="N20" i="11" l="1"/>
  <c r="N17"/>
  <c r="M41" i="12"/>
  <c r="M45" s="1"/>
  <c r="M34"/>
  <c r="N10"/>
  <c r="N22"/>
  <c r="N18"/>
  <c r="L37"/>
  <c r="P19" i="8"/>
  <c r="O20"/>
  <c r="K11" i="12"/>
  <c r="K19"/>
  <c r="K29"/>
  <c r="L38"/>
  <c r="L48"/>
  <c r="N21" i="11" l="1"/>
  <c r="C22" s="1"/>
  <c r="M37" i="12"/>
  <c r="Q19" i="8"/>
  <c r="P20"/>
  <c r="L11" i="12"/>
  <c r="L29"/>
  <c r="L19"/>
  <c r="N32"/>
  <c r="N23"/>
  <c r="M38"/>
  <c r="M48"/>
  <c r="N42" l="1"/>
  <c r="N33"/>
  <c r="N34" s="1"/>
  <c r="N41"/>
  <c r="N37"/>
  <c r="Q20" i="8"/>
  <c r="Q21"/>
  <c r="M11" i="12"/>
  <c r="M19"/>
  <c r="M29"/>
  <c r="N29" l="1"/>
  <c r="C30" s="1"/>
  <c r="N11"/>
  <c r="C12" s="1"/>
  <c r="N19"/>
  <c r="C20" s="1"/>
  <c r="N45"/>
  <c r="N38"/>
  <c r="C39" s="1"/>
  <c r="N48" l="1"/>
  <c r="C46"/>
  <c r="C49" s="1"/>
</calcChain>
</file>

<file path=xl/sharedStrings.xml><?xml version="1.0" encoding="utf-8"?>
<sst xmlns="http://schemas.openxmlformats.org/spreadsheetml/2006/main" count="563" uniqueCount="238">
  <si>
    <t>Revenues</t>
  </si>
  <si>
    <t>EBITDA</t>
  </si>
  <si>
    <t>EBIT</t>
  </si>
  <si>
    <t>Net Profit</t>
  </si>
  <si>
    <t>Total Debt</t>
  </si>
  <si>
    <t>Net Debt</t>
  </si>
  <si>
    <t>Equity</t>
  </si>
  <si>
    <t>EBITDA margin</t>
  </si>
  <si>
    <t>Operating Margin</t>
  </si>
  <si>
    <t>Total Debt/EBITDA</t>
  </si>
  <si>
    <t>Net Debt/EBITDA</t>
  </si>
  <si>
    <t>Debt to equity</t>
  </si>
  <si>
    <t>Earning (net profit) per share</t>
  </si>
  <si>
    <t>Earnings (EBITDA) per share</t>
  </si>
  <si>
    <t>Shares price (dec 31th, 2005)</t>
  </si>
  <si>
    <t>P/E multiple</t>
  </si>
  <si>
    <t>P/E Multiple(EBITDA)</t>
  </si>
  <si>
    <t>Arcelor (31-12-2005)</t>
  </si>
  <si>
    <t>Mittal (31-12-2005)</t>
  </si>
  <si>
    <t>Nippon Steel (31-03-2006)</t>
  </si>
  <si>
    <t>JFE Holdings (31-03-2006)</t>
  </si>
  <si>
    <t>POSCO (31-12-2005)</t>
  </si>
  <si>
    <t>Corus (31-12-2005)</t>
  </si>
  <si>
    <t>Severstal (31-12-2005)</t>
  </si>
  <si>
    <t>USD</t>
  </si>
  <si>
    <t>NA</t>
  </si>
  <si>
    <t>www.bloomberg.com</t>
  </si>
  <si>
    <t>http://investing.businessweek.com</t>
  </si>
  <si>
    <t>ROIC</t>
  </si>
  <si>
    <t xml:space="preserve">ROA </t>
  </si>
  <si>
    <t>EV/EBITDA</t>
  </si>
  <si>
    <t>Dividends per share</t>
  </si>
  <si>
    <t>US Steel (31-12-2005)</t>
  </si>
  <si>
    <t>Arcelor + Mittal (31-12-2005)</t>
  </si>
  <si>
    <t>Millions</t>
  </si>
  <si>
    <t>Millions of USD</t>
  </si>
  <si>
    <t>www.google.com/finance</t>
  </si>
  <si>
    <t>www.yahoofinance.com</t>
  </si>
  <si>
    <t>Total Assets</t>
  </si>
  <si>
    <t>Arcelor + Mittal (31-12-2003)</t>
  </si>
  <si>
    <t>Arcelor + Mittal (31-12-2004)</t>
  </si>
  <si>
    <t>WACC</t>
  </si>
  <si>
    <t>Invested Capital (Fixed Assets + NWC)</t>
  </si>
  <si>
    <t>Arcelor (31-12-2003)</t>
  </si>
  <si>
    <t>Arcelor (31-12-2004)</t>
  </si>
  <si>
    <t>Mittal (31-12-2003)</t>
  </si>
  <si>
    <t>Mittal (31-12-2004)</t>
  </si>
  <si>
    <t>Number of shares - Shares outstanding</t>
  </si>
  <si>
    <t>Market capitalization</t>
  </si>
  <si>
    <t>Pre tax Income</t>
  </si>
  <si>
    <t>1USD - JPY</t>
  </si>
  <si>
    <t>1USD - KRW</t>
  </si>
  <si>
    <t>1USD - EUR</t>
  </si>
  <si>
    <t>1USD - GBP</t>
  </si>
  <si>
    <t>Defered Taxes</t>
  </si>
  <si>
    <t>RD</t>
  </si>
  <si>
    <t>Market Capitalization (Equity)</t>
  </si>
  <si>
    <t>Net Debt (Debt)</t>
  </si>
  <si>
    <t>ArcelorMittal (31-12-2006)</t>
  </si>
  <si>
    <t>ArcelorMittal (31-12-2007)</t>
  </si>
  <si>
    <t>ArcelorMittal (31-12-2008)</t>
  </si>
  <si>
    <t>βL</t>
  </si>
  <si>
    <t>Number of Shares outstanding</t>
  </si>
  <si>
    <t>www.arcelormittal.com</t>
  </si>
  <si>
    <t>Group</t>
  </si>
  <si>
    <t>Re</t>
  </si>
  <si>
    <t>EBIT (1-t)</t>
  </si>
  <si>
    <t>FCFF</t>
  </si>
  <si>
    <t>Discounted FCFF</t>
  </si>
  <si>
    <t>Firm Value</t>
  </si>
  <si>
    <t>Debt (Market value)</t>
  </si>
  <si>
    <t>Equity value</t>
  </si>
  <si>
    <t>Amortizations and depreciations</t>
  </si>
  <si>
    <t>EBIT g</t>
  </si>
  <si>
    <t xml:space="preserve">Net Profit </t>
  </si>
  <si>
    <t>Change in Invested Capital</t>
  </si>
  <si>
    <t>Continuing Value</t>
  </si>
  <si>
    <t>PV of Continuing Value</t>
  </si>
  <si>
    <t>Market Value of Cash and equivalents</t>
  </si>
  <si>
    <t>Interest expense</t>
  </si>
  <si>
    <t>Sales</t>
  </si>
  <si>
    <t>Gross Margin</t>
  </si>
  <si>
    <t>Revenue g</t>
  </si>
  <si>
    <t>COS g</t>
  </si>
  <si>
    <t xml:space="preserve">Tax rate </t>
  </si>
  <si>
    <t>Amortizations and deperciations</t>
  </si>
  <si>
    <t>Other Operational Costs</t>
  </si>
  <si>
    <t>Index:</t>
  </si>
  <si>
    <t>Annual</t>
  </si>
  <si>
    <t>1982-84=100</t>
  </si>
  <si>
    <t>growth rate</t>
  </si>
  <si>
    <t>2000 (actual)</t>
  </si>
  <si>
    <t>2001 (actual)</t>
  </si>
  <si>
    <t>2002 (actual)</t>
  </si>
  <si>
    <t>2003 (actual)</t>
  </si>
  <si>
    <t>2004 (actual)</t>
  </si>
  <si>
    <t>2005 (actual)</t>
  </si>
  <si>
    <t>2006 (actual)</t>
  </si>
  <si>
    <t>2007 (actual)</t>
  </si>
  <si>
    <t>2008 (actual)</t>
  </si>
  <si>
    <t>2006(*)</t>
  </si>
  <si>
    <t>(*) Projections assumed a growth of 12% due to high investements in the previous years</t>
  </si>
  <si>
    <t>Invested Capital (**)</t>
  </si>
  <si>
    <t xml:space="preserve">(**) Constant growth at 3% rate </t>
  </si>
  <si>
    <t>Cost of Sales (*)</t>
  </si>
  <si>
    <t>Arcelor WACC</t>
  </si>
  <si>
    <t>Mittal WACC</t>
  </si>
  <si>
    <t>Arcelor Entreprise Value</t>
  </si>
  <si>
    <t>Mittal Entreprise Value</t>
  </si>
  <si>
    <t>Arcelor + Mittal WACC</t>
  </si>
  <si>
    <t>Arcelor +Mittal (2004)</t>
  </si>
  <si>
    <t>Arcelor +Mittal (2005)</t>
  </si>
  <si>
    <t>Arcelor +Mittal (2006)</t>
  </si>
  <si>
    <t>Arcelor +Mittal (2007)</t>
  </si>
  <si>
    <t>Arcelor +Mittal (2008)</t>
  </si>
  <si>
    <t>Arcelor +Mittal (2009)</t>
  </si>
  <si>
    <t>Arcelor +Mittal (2010)</t>
  </si>
  <si>
    <t>Arcelor +Mittal (2011)</t>
  </si>
  <si>
    <t>Arcelor +Mittal (2012)</t>
  </si>
  <si>
    <t>Arcelor +Mittal (2013)</t>
  </si>
  <si>
    <t>Arcelor +Mittal (2014)</t>
  </si>
  <si>
    <t>ARCELOR + MITTAL WACC</t>
  </si>
  <si>
    <t>ARCELORMITTAL WACC</t>
  </si>
  <si>
    <t>Arcelor +Mittal (2015)</t>
  </si>
  <si>
    <t>ArcelorMittal (2007)</t>
  </si>
  <si>
    <t>ArcelorMittal (2008)</t>
  </si>
  <si>
    <t>ArcelorMittal (2009)</t>
  </si>
  <si>
    <t>ArcelorMittal (2010)</t>
  </si>
  <si>
    <t>ArcelorMittal (2011)</t>
  </si>
  <si>
    <t>ArcelorMittal (2012)</t>
  </si>
  <si>
    <t>ArcelorMittal WACC</t>
  </si>
  <si>
    <t>ArcelorMittal (2013)</t>
  </si>
  <si>
    <t>ArcelorMittal (2014)</t>
  </si>
  <si>
    <t>ArcelorMittal (2015)</t>
  </si>
  <si>
    <t>ArcelorMittal (2016)</t>
  </si>
  <si>
    <t>ArcelorMittal (2017)</t>
  </si>
  <si>
    <t>ArcelorMittal (2018)</t>
  </si>
  <si>
    <t>Source: U.S. Bureau of Labor Statistics; The Puget Sound Economic Forecaster, prepared by Conway Pedersen Economics, Inc (assumed a constant growth after 2015)</t>
  </si>
  <si>
    <t>NA - Not Available</t>
  </si>
  <si>
    <t>NWC Needs (*)</t>
  </si>
  <si>
    <t>Gearing(***)</t>
  </si>
  <si>
    <t>(**) Defered Taxes and Minority Interests considered</t>
  </si>
  <si>
    <t>(***) Gearing = Total Debt/(Equity+Total Debt)</t>
  </si>
  <si>
    <t>(*) NWC needs = (Current Assets - Cash and Cash Equivalents) - (Current Liabilities -Short Term Debt)</t>
  </si>
  <si>
    <t>In POSCO Minority Interests are Summed</t>
  </si>
  <si>
    <t>Notes:</t>
  </si>
  <si>
    <t xml:space="preserve">Annual Report of all the companies in 2005 and 2006 </t>
  </si>
  <si>
    <t>Sources:</t>
  </si>
  <si>
    <t>In Severstal there are also loss from Discounted Operations (Considered)</t>
  </si>
  <si>
    <t>Fixed Assets (Long Term Assets)</t>
  </si>
  <si>
    <t>Net Profit (Before Minority Interests)</t>
  </si>
  <si>
    <t>Medium Tax Rate = (Tax/Pre Tax Income)(**)</t>
  </si>
  <si>
    <t>Medium Tax Rate = (Tax/Pre Tax Income)</t>
  </si>
  <si>
    <t>Medium Tax Rate = (Tax/Pre Tax Income) (**)</t>
  </si>
  <si>
    <t>(**) Rm-Rf Damodaran assumption = 5,5%</t>
  </si>
  <si>
    <t>Rf (Risk Free) (*)</t>
  </si>
  <si>
    <t>Rm-Rf (**)</t>
  </si>
  <si>
    <t>βu (***)</t>
  </si>
  <si>
    <t xml:space="preserve">(***) βu = Beta Steel(general) </t>
  </si>
  <si>
    <t xml:space="preserve">Annual Report of Arcelor SA and Mittal Steel in 2005 and 2006 </t>
  </si>
  <si>
    <t>Annual Report of ArcelorMittal in 2006, 2007 and 2008</t>
  </si>
  <si>
    <t>www.damodaran.com</t>
  </si>
  <si>
    <t xml:space="preserve">Annual Report of Arcelor SA and Mittal Steel in 2003, 2004 and 2005 </t>
  </si>
  <si>
    <t xml:space="preserve">Annual Report of ArcelorMittal in 2006,2007 and 2008 </t>
  </si>
  <si>
    <t>(*) COGS growth at a low level than Sales - due to decrease in market dependency</t>
  </si>
  <si>
    <t>GROWTH BETWEEN YEAR 2007 AND 2008:</t>
  </si>
  <si>
    <t>CONSTANT TAX RATE:</t>
  </si>
  <si>
    <t>ARCELORMITTAL FUTURES CASH FLOWS (PROJECTION):</t>
  </si>
  <si>
    <t>Amort g</t>
  </si>
  <si>
    <t>U.S. Bureau of Labor  Statistics</t>
  </si>
  <si>
    <t>GROWTH BETWEEN YEAR 2004 AND 2005:</t>
  </si>
  <si>
    <t>ARCELOR + MITTAL FUTURES CASH FLOWS (PROJECTION):</t>
  </si>
  <si>
    <t>Cost of Sales</t>
  </si>
  <si>
    <t>(***) Assuming a constante ratio D/E since 2005</t>
  </si>
  <si>
    <t>Nominal Wacc</t>
  </si>
  <si>
    <t>Real Wacc</t>
  </si>
  <si>
    <t>Arcelor +Mittal</t>
  </si>
  <si>
    <t xml:space="preserve">ArcelorMittal </t>
  </si>
  <si>
    <t>Number of Shares outstanding (***)</t>
  </si>
  <si>
    <t>(*) NWC Needs = (Current Assets - Cash and Cash Equivalents) - (Current Liabilities -Short Term Debt)</t>
  </si>
  <si>
    <t>(***)  Number of Shares After the Merger (2006)</t>
  </si>
  <si>
    <t>ArcelorMittal (31-12-2006)(*)</t>
  </si>
  <si>
    <t>NWC Needs (**)</t>
  </si>
  <si>
    <t>Medium Tax Rate = (Tax/Pre Tax Income) (***)</t>
  </si>
  <si>
    <t>(**) NWC needs = (Current Assets - Cash and Cash Equivalents) - (Current Liabilities -Short Term Debt)</t>
  </si>
  <si>
    <t>(***) Defered Taxes and Minority Interests considered</t>
  </si>
  <si>
    <t>(*) Half year (Values After the Merger)</t>
  </si>
  <si>
    <t>Adjusted βu (****)</t>
  </si>
  <si>
    <t>Adjusted βL</t>
  </si>
  <si>
    <t>Adjusted Re</t>
  </si>
  <si>
    <t>Adjusted WACC</t>
  </si>
  <si>
    <t>(****) Adjusted Beta due to the instability years which promoted a exponential growth</t>
  </si>
  <si>
    <t>Arcelor +Mittal (2016)</t>
  </si>
  <si>
    <t>Arcelor +Mittal (2017)</t>
  </si>
  <si>
    <t>Arcelor +Mittal (2018)</t>
  </si>
  <si>
    <t>(***) Assuming a constante  D/E ratio since 2005</t>
  </si>
  <si>
    <t>ARCELORMITTAL INCREMENTAL CASH FLOWS (PROJECTION):</t>
  </si>
  <si>
    <t>Discount Factor (***)</t>
  </si>
  <si>
    <t>WACC Summed company</t>
  </si>
  <si>
    <t>Discount factor (***)</t>
  </si>
  <si>
    <t>WACC ArcelorMittal</t>
  </si>
  <si>
    <r>
      <t>∆</t>
    </r>
    <r>
      <rPr>
        <b/>
        <sz val="11.9"/>
        <color indexed="9"/>
        <rFont val="Calibri"/>
        <family val="2"/>
      </rPr>
      <t xml:space="preserve"> </t>
    </r>
    <r>
      <rPr>
        <b/>
        <sz val="14"/>
        <color indexed="9"/>
        <rFont val="Calibri"/>
        <family val="2"/>
      </rPr>
      <t>Sales</t>
    </r>
  </si>
  <si>
    <t>Sales synergies + cost synergies</t>
  </si>
  <si>
    <t>Projected WACC discounted rate</t>
  </si>
  <si>
    <t>Discount rate</t>
  </si>
  <si>
    <t>Differences</t>
  </si>
  <si>
    <t xml:space="preserve">Incremental Change in Invested Capital </t>
  </si>
  <si>
    <t>TOTAL INCREMENTAL CASH FLOWS</t>
  </si>
  <si>
    <t>Terminal Value</t>
  </si>
  <si>
    <t>Terminal Value new WACC</t>
  </si>
  <si>
    <t>Sales (ArcelorMittal)</t>
  </si>
  <si>
    <t>EBIT(1-t)/Sales (ArcelorMittal)</t>
  </si>
  <si>
    <t>EBIT (1-t) (Summed company)</t>
  </si>
  <si>
    <t>Operating margin of Summed company</t>
  </si>
  <si>
    <t>EBIT(1-t)/Sales (Summed company)</t>
  </si>
  <si>
    <t>Change in Invested Capital  (ArcelorMittal)</t>
  </si>
  <si>
    <t>Change in Invested Capital  (Summed company)</t>
  </si>
  <si>
    <t>Sales synergies terminal value</t>
  </si>
  <si>
    <t>Cost synergies termial value</t>
  </si>
  <si>
    <t>Sales synergy = ∆ Sales * [(EBIT(1-t)/Sales)]</t>
  </si>
  <si>
    <t>Cost synergies = Sales total * [EBIT(1-t)/Sales (historical) - EBIT(1-t)/Sales (projected)]</t>
  </si>
  <si>
    <t>INCREMENTAL CASH FLOWS</t>
  </si>
  <si>
    <t>WACC (Summed company)</t>
  </si>
  <si>
    <t>Discount factor (Summed company)</t>
  </si>
  <si>
    <t>Incremental cash flows discounted at expected WACC</t>
  </si>
  <si>
    <t>PV @ WACC Summed company</t>
  </si>
  <si>
    <t>Incremental cash flows</t>
  </si>
  <si>
    <t>PV @  WACC ArcelorMittal</t>
  </si>
  <si>
    <t>PV of sales synergies</t>
  </si>
  <si>
    <t>Discounted sales synergies</t>
  </si>
  <si>
    <t>Discounted cost synergies</t>
  </si>
  <si>
    <t>PV of cost synergies</t>
  </si>
  <si>
    <t>Total PV of Incremental Change in Invested Capital</t>
  </si>
  <si>
    <t>PV Difference in WACC</t>
  </si>
  <si>
    <t>Invested capital terminal value</t>
  </si>
  <si>
    <t>(*) US Treasury Bonds, 10 Y</t>
  </si>
  <si>
    <t>Discounted Incremental Change in Invested Capital</t>
  </si>
  <si>
    <t>Enterprise Value</t>
  </si>
</sst>
</file>

<file path=xl/styles.xml><?xml version="1.0" encoding="utf-8"?>
<styleSheet xmlns="http://schemas.openxmlformats.org/spreadsheetml/2006/main">
  <numFmts count="4">
    <numFmt numFmtId="164" formatCode="[$$-409]#,##0.00"/>
    <numFmt numFmtId="165" formatCode="0.0000"/>
    <numFmt numFmtId="166" formatCode="0.0"/>
    <numFmt numFmtId="167" formatCode="0.000"/>
  </numFmts>
  <fonts count="35">
    <font>
      <sz val="11"/>
      <color theme="1"/>
      <name val="Calibri"/>
      <family val="2"/>
      <scheme val="minor"/>
    </font>
    <font>
      <sz val="14"/>
      <color indexed="9"/>
      <name val="Calibri"/>
      <family val="2"/>
    </font>
    <font>
      <b/>
      <sz val="16"/>
      <color indexed="8"/>
      <name val="Calibri"/>
      <family val="2"/>
    </font>
    <font>
      <b/>
      <sz val="14"/>
      <color indexed="9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sz val="14"/>
      <color indexed="10"/>
      <name val="Calibri"/>
      <family val="2"/>
    </font>
    <font>
      <sz val="8"/>
      <name val="Calibri"/>
      <family val="2"/>
    </font>
    <font>
      <b/>
      <sz val="14"/>
      <color indexed="9"/>
      <name val="Calibri"/>
      <family val="2"/>
    </font>
    <font>
      <b/>
      <sz val="16"/>
      <color indexed="8"/>
      <name val="Calibri"/>
      <family val="2"/>
    </font>
    <font>
      <b/>
      <sz val="16"/>
      <name val="Calibri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sz val="18"/>
      <color indexed="8"/>
      <name val="Calibri"/>
      <family val="2"/>
    </font>
    <font>
      <b/>
      <sz val="14"/>
      <color indexed="9"/>
      <name val="Calibri"/>
      <family val="2"/>
    </font>
    <font>
      <b/>
      <sz val="11"/>
      <color indexed="8"/>
      <name val="Calibri"/>
      <family val="2"/>
    </font>
    <font>
      <sz val="12"/>
      <color indexed="8"/>
      <name val="Calibri"/>
      <family val="2"/>
    </font>
    <font>
      <b/>
      <sz val="14"/>
      <color indexed="8"/>
      <name val="Calibri"/>
      <family val="2"/>
    </font>
    <font>
      <b/>
      <i/>
      <sz val="16"/>
      <color indexed="8"/>
      <name val="Calibri"/>
      <family val="2"/>
    </font>
    <font>
      <i/>
      <sz val="12"/>
      <color indexed="9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i/>
      <sz val="14"/>
      <color indexed="8"/>
      <name val="Calibri"/>
      <family val="2"/>
    </font>
    <font>
      <sz val="11"/>
      <name val="Calibri"/>
      <family val="2"/>
    </font>
    <font>
      <b/>
      <sz val="18"/>
      <color indexed="8"/>
      <name val="Calibri"/>
      <family val="2"/>
    </font>
    <font>
      <b/>
      <sz val="16"/>
      <color indexed="9"/>
      <name val="Calibri"/>
      <family val="2"/>
    </font>
    <font>
      <sz val="11"/>
      <color indexed="8"/>
      <name val="Calibri"/>
      <family val="2"/>
    </font>
    <font>
      <b/>
      <sz val="14"/>
      <color indexed="9"/>
      <name val="Calibri"/>
      <family val="2"/>
    </font>
    <font>
      <b/>
      <sz val="11.9"/>
      <color indexed="9"/>
      <name val="Calibri"/>
      <family val="2"/>
    </font>
    <font>
      <b/>
      <sz val="14"/>
      <color indexed="9"/>
      <name val="Calibri"/>
      <family val="2"/>
    </font>
    <font>
      <b/>
      <sz val="14"/>
      <color indexed="10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31" fillId="3" borderId="0" applyNumberFormat="0" applyBorder="0" applyAlignment="0" applyProtection="0"/>
    <xf numFmtId="0" fontId="32" fillId="4" borderId="0" applyNumberFormat="0" applyBorder="0" applyAlignment="0" applyProtection="0"/>
    <xf numFmtId="0" fontId="33" fillId="5" borderId="0" applyNumberFormat="0" applyBorder="0" applyAlignment="0" applyProtection="0"/>
    <xf numFmtId="0" fontId="33" fillId="6" borderId="0" applyNumberFormat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9" fontId="26" fillId="0" borderId="0" applyFont="0" applyFill="0" applyBorder="0" applyAlignment="0" applyProtection="0"/>
  </cellStyleXfs>
  <cellXfs count="425">
    <xf numFmtId="0" fontId="0" fillId="0" borderId="0" xfId="0"/>
    <xf numFmtId="0" fontId="34" fillId="0" borderId="0" xfId="5" applyAlignment="1" applyProtection="1"/>
    <xf numFmtId="14" fontId="0" fillId="0" borderId="0" xfId="0" applyNumberFormat="1"/>
    <xf numFmtId="0" fontId="2" fillId="2" borderId="1" xfId="0" applyFont="1" applyFill="1" applyBorder="1"/>
    <xf numFmtId="0" fontId="0" fillId="2" borderId="3" xfId="0" applyFill="1" applyBorder="1"/>
    <xf numFmtId="3" fontId="1" fillId="5" borderId="4" xfId="3" applyNumberFormat="1" applyFont="1" applyBorder="1" applyAlignment="1">
      <alignment horizontal="center"/>
    </xf>
    <xf numFmtId="3" fontId="1" fillId="5" borderId="5" xfId="3" applyNumberFormat="1" applyFont="1" applyBorder="1" applyAlignment="1">
      <alignment horizontal="center"/>
    </xf>
    <xf numFmtId="0" fontId="3" fillId="6" borderId="3" xfId="4" applyFont="1" applyBorder="1"/>
    <xf numFmtId="0" fontId="3" fillId="6" borderId="6" xfId="4" applyFont="1" applyBorder="1"/>
    <xf numFmtId="0" fontId="3" fillId="6" borderId="7" xfId="4" applyFont="1" applyBorder="1"/>
    <xf numFmtId="0" fontId="3" fillId="5" borderId="3" xfId="3" applyFont="1" applyBorder="1"/>
    <xf numFmtId="0" fontId="3" fillId="5" borderId="6" xfId="3" applyFont="1" applyBorder="1"/>
    <xf numFmtId="0" fontId="3" fillId="5" borderId="7" xfId="3" applyFont="1" applyBorder="1"/>
    <xf numFmtId="164" fontId="0" fillId="0" borderId="0" xfId="0" applyNumberFormat="1"/>
    <xf numFmtId="0" fontId="3" fillId="0" borderId="0" xfId="3" applyFont="1" applyFill="1" applyBorder="1"/>
    <xf numFmtId="2" fontId="1" fillId="0" borderId="0" xfId="3" applyNumberFormat="1" applyFont="1" applyFill="1" applyBorder="1" applyAlignment="1">
      <alignment horizontal="center"/>
    </xf>
    <xf numFmtId="0" fontId="4" fillId="0" borderId="0" xfId="3" applyFont="1" applyFill="1" applyBorder="1"/>
    <xf numFmtId="3" fontId="1" fillId="6" borderId="3" xfId="4" applyNumberFormat="1" applyFont="1" applyBorder="1" applyAlignment="1">
      <alignment horizontal="center"/>
    </xf>
    <xf numFmtId="0" fontId="3" fillId="6" borderId="8" xfId="4" applyFont="1" applyBorder="1"/>
    <xf numFmtId="0" fontId="3" fillId="6" borderId="9" xfId="4" applyFont="1" applyBorder="1"/>
    <xf numFmtId="0" fontId="3" fillId="6" borderId="10" xfId="4" applyFont="1" applyBorder="1"/>
    <xf numFmtId="0" fontId="3" fillId="5" borderId="8" xfId="3" applyFont="1" applyBorder="1"/>
    <xf numFmtId="0" fontId="3" fillId="5" borderId="10" xfId="3" applyFont="1" applyBorder="1"/>
    <xf numFmtId="3" fontId="1" fillId="6" borderId="6" xfId="4" applyNumberFormat="1" applyFont="1" applyBorder="1" applyAlignment="1">
      <alignment horizontal="center"/>
    </xf>
    <xf numFmtId="3" fontId="1" fillId="5" borderId="3" xfId="3" applyNumberFormat="1" applyFont="1" applyBorder="1" applyAlignment="1">
      <alignment horizontal="center"/>
    </xf>
    <xf numFmtId="3" fontId="1" fillId="5" borderId="6" xfId="3" applyNumberFormat="1" applyFont="1" applyBorder="1" applyAlignment="1">
      <alignment horizontal="center"/>
    </xf>
    <xf numFmtId="3" fontId="1" fillId="5" borderId="7" xfId="3" applyNumberFormat="1" applyFont="1" applyBorder="1" applyAlignment="1">
      <alignment horizontal="center"/>
    </xf>
    <xf numFmtId="0" fontId="2" fillId="2" borderId="11" xfId="0" applyFont="1" applyFill="1" applyBorder="1"/>
    <xf numFmtId="0" fontId="0" fillId="2" borderId="11" xfId="0" applyFill="1" applyBorder="1"/>
    <xf numFmtId="0" fontId="2" fillId="2" borderId="1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2" fontId="5" fillId="0" borderId="0" xfId="3" applyNumberFormat="1" applyFont="1" applyFill="1" applyBorder="1" applyAlignment="1">
      <alignment horizontal="center"/>
    </xf>
    <xf numFmtId="2" fontId="6" fillId="0" borderId="0" xfId="3" applyNumberFormat="1" applyFont="1" applyFill="1" applyBorder="1" applyAlignment="1">
      <alignment horizontal="center"/>
    </xf>
    <xf numFmtId="0" fontId="0" fillId="0" borderId="0" xfId="0" applyFill="1"/>
    <xf numFmtId="3" fontId="3" fillId="6" borderId="0" xfId="4" applyNumberFormat="1" applyFont="1" applyBorder="1" applyAlignment="1">
      <alignment horizontal="center"/>
    </xf>
    <xf numFmtId="3" fontId="3" fillId="6" borderId="6" xfId="4" applyNumberFormat="1" applyFont="1" applyBorder="1" applyAlignment="1">
      <alignment horizontal="center"/>
    </xf>
    <xf numFmtId="3" fontId="3" fillId="6" borderId="7" xfId="4" applyNumberFormat="1" applyFont="1" applyBorder="1" applyAlignment="1">
      <alignment horizontal="center"/>
    </xf>
    <xf numFmtId="3" fontId="3" fillId="6" borderId="8" xfId="4" applyNumberFormat="1" applyFont="1" applyBorder="1" applyAlignment="1">
      <alignment horizontal="center"/>
    </xf>
    <xf numFmtId="3" fontId="3" fillId="6" borderId="9" xfId="4" applyNumberFormat="1" applyFont="1" applyBorder="1" applyAlignment="1">
      <alignment horizontal="center"/>
    </xf>
    <xf numFmtId="3" fontId="3" fillId="5" borderId="8" xfId="3" applyNumberFormat="1" applyFont="1" applyBorder="1" applyAlignment="1">
      <alignment horizontal="center"/>
    </xf>
    <xf numFmtId="3" fontId="3" fillId="5" borderId="9" xfId="3" applyNumberFormat="1" applyFont="1" applyBorder="1" applyAlignment="1">
      <alignment horizontal="center"/>
    </xf>
    <xf numFmtId="3" fontId="3" fillId="5" borderId="10" xfId="3" applyNumberFormat="1" applyFont="1" applyBorder="1" applyAlignment="1">
      <alignment horizontal="center"/>
    </xf>
    <xf numFmtId="3" fontId="3" fillId="6" borderId="10" xfId="4" applyNumberFormat="1" applyFont="1" applyBorder="1" applyAlignment="1">
      <alignment horizontal="center"/>
    </xf>
    <xf numFmtId="0" fontId="0" fillId="0" borderId="0" xfId="0" applyFill="1" applyBorder="1"/>
    <xf numFmtId="10" fontId="3" fillId="6" borderId="0" xfId="4" applyNumberFormat="1" applyFont="1" applyBorder="1" applyAlignment="1">
      <alignment horizontal="center"/>
    </xf>
    <xf numFmtId="0" fontId="8" fillId="5" borderId="6" xfId="3" applyFont="1" applyBorder="1"/>
    <xf numFmtId="0" fontId="8" fillId="5" borderId="7" xfId="3" applyFont="1" applyBorder="1"/>
    <xf numFmtId="3" fontId="0" fillId="0" borderId="0" xfId="0" applyNumberFormat="1"/>
    <xf numFmtId="3" fontId="3" fillId="6" borderId="13" xfId="4" applyNumberFormat="1" applyFont="1" applyBorder="1" applyAlignment="1">
      <alignment horizontal="center"/>
    </xf>
    <xf numFmtId="3" fontId="3" fillId="6" borderId="3" xfId="4" applyNumberFormat="1" applyFont="1" applyBorder="1" applyAlignment="1">
      <alignment horizontal="center"/>
    </xf>
    <xf numFmtId="3" fontId="3" fillId="6" borderId="11" xfId="4" applyNumberFormat="1" applyFont="1" applyBorder="1" applyAlignment="1">
      <alignment horizontal="center"/>
    </xf>
    <xf numFmtId="10" fontId="1" fillId="0" borderId="0" xfId="4" applyNumberFormat="1" applyFont="1" applyFill="1" applyBorder="1" applyAlignment="1">
      <alignment horizontal="center"/>
    </xf>
    <xf numFmtId="10" fontId="3" fillId="6" borderId="9" xfId="4" applyNumberFormat="1" applyFont="1" applyBorder="1" applyAlignment="1">
      <alignment horizontal="center"/>
    </xf>
    <xf numFmtId="10" fontId="3" fillId="5" borderId="10" xfId="3" applyNumberFormat="1" applyFont="1" applyBorder="1" applyAlignment="1">
      <alignment horizontal="center"/>
    </xf>
    <xf numFmtId="2" fontId="3" fillId="5" borderId="9" xfId="3" applyNumberFormat="1" applyFont="1" applyBorder="1" applyAlignment="1">
      <alignment horizontal="center"/>
    </xf>
    <xf numFmtId="0" fontId="12" fillId="0" borderId="0" xfId="0" applyFont="1"/>
    <xf numFmtId="0" fontId="14" fillId="6" borderId="8" xfId="4" applyFont="1" applyBorder="1"/>
    <xf numFmtId="3" fontId="14" fillId="6" borderId="8" xfId="4" applyNumberFormat="1" applyFont="1" applyBorder="1" applyAlignment="1">
      <alignment horizontal="center"/>
    </xf>
    <xf numFmtId="3" fontId="14" fillId="6" borderId="3" xfId="4" applyNumberFormat="1" applyFont="1" applyBorder="1" applyAlignment="1">
      <alignment horizontal="center"/>
    </xf>
    <xf numFmtId="0" fontId="14" fillId="6" borderId="9" xfId="4" applyFont="1" applyBorder="1"/>
    <xf numFmtId="0" fontId="14" fillId="6" borderId="10" xfId="4" applyFont="1" applyBorder="1"/>
    <xf numFmtId="0" fontId="33" fillId="6" borderId="9" xfId="4" applyBorder="1"/>
    <xf numFmtId="10" fontId="14" fillId="6" borderId="9" xfId="4" applyNumberFormat="1" applyFont="1" applyBorder="1" applyAlignment="1">
      <alignment horizontal="center"/>
    </xf>
    <xf numFmtId="10" fontId="3" fillId="6" borderId="8" xfId="4" applyNumberFormat="1" applyFont="1" applyBorder="1" applyAlignment="1">
      <alignment horizontal="center"/>
    </xf>
    <xf numFmtId="10" fontId="3" fillId="5" borderId="8" xfId="3" applyNumberFormat="1" applyFont="1" applyBorder="1" applyAlignment="1">
      <alignment horizontal="center"/>
    </xf>
    <xf numFmtId="0" fontId="16" fillId="3" borderId="14" xfId="1" applyFont="1" applyBorder="1" applyAlignment="1">
      <alignment horizontal="center"/>
    </xf>
    <xf numFmtId="0" fontId="16" fillId="3" borderId="15" xfId="1" applyFont="1" applyBorder="1" applyAlignment="1">
      <alignment horizontal="center"/>
    </xf>
    <xf numFmtId="0" fontId="17" fillId="3" borderId="16" xfId="1" applyFont="1" applyBorder="1"/>
    <xf numFmtId="0" fontId="17" fillId="3" borderId="17" xfId="1" applyFont="1" applyBorder="1"/>
    <xf numFmtId="0" fontId="14" fillId="6" borderId="17" xfId="4" applyFont="1" applyBorder="1"/>
    <xf numFmtId="0" fontId="14" fillId="6" borderId="17" xfId="4" applyFont="1" applyBorder="1" applyAlignment="1">
      <alignment horizontal="left"/>
    </xf>
    <xf numFmtId="0" fontId="14" fillId="5" borderId="17" xfId="3" applyFont="1" applyBorder="1" applyAlignment="1">
      <alignment horizontal="left"/>
    </xf>
    <xf numFmtId="0" fontId="14" fillId="5" borderId="18" xfId="3" applyFont="1" applyBorder="1" applyAlignment="1">
      <alignment horizontal="left"/>
    </xf>
    <xf numFmtId="166" fontId="14" fillId="6" borderId="14" xfId="4" applyNumberFormat="1" applyFont="1" applyBorder="1" applyAlignment="1">
      <alignment horizontal="center"/>
    </xf>
    <xf numFmtId="167" fontId="14" fillId="6" borderId="14" xfId="4" applyNumberFormat="1" applyFont="1" applyBorder="1" applyAlignment="1">
      <alignment horizontal="center"/>
    </xf>
    <xf numFmtId="167" fontId="14" fillId="5" borderId="14" xfId="3" applyNumberFormat="1" applyFont="1" applyBorder="1" applyAlignment="1">
      <alignment horizontal="center"/>
    </xf>
    <xf numFmtId="167" fontId="14" fillId="5" borderId="19" xfId="3" applyNumberFormat="1" applyFont="1" applyBorder="1" applyAlignment="1">
      <alignment horizontal="center"/>
    </xf>
    <xf numFmtId="0" fontId="0" fillId="0" borderId="0" xfId="0" applyAlignment="1">
      <alignment horizontal="left" wrapText="1"/>
    </xf>
    <xf numFmtId="0" fontId="2" fillId="2" borderId="13" xfId="0" applyFont="1" applyFill="1" applyBorder="1" applyAlignment="1">
      <alignment horizontal="center"/>
    </xf>
    <xf numFmtId="10" fontId="14" fillId="6" borderId="15" xfId="4" applyNumberFormat="1" applyFont="1" applyBorder="1" applyAlignment="1">
      <alignment horizontal="center"/>
    </xf>
    <xf numFmtId="10" fontId="14" fillId="5" borderId="15" xfId="3" applyNumberFormat="1" applyFont="1" applyBorder="1" applyAlignment="1">
      <alignment horizontal="center"/>
    </xf>
    <xf numFmtId="10" fontId="14" fillId="5" borderId="20" xfId="3" applyNumberFormat="1" applyFont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8" fillId="0" borderId="0" xfId="0" applyFont="1"/>
    <xf numFmtId="0" fontId="8" fillId="5" borderId="3" xfId="3" applyFont="1" applyBorder="1"/>
    <xf numFmtId="3" fontId="3" fillId="6" borderId="21" xfId="4" applyNumberFormat="1" applyFont="1" applyBorder="1" applyAlignment="1">
      <alignment horizontal="center"/>
    </xf>
    <xf numFmtId="3" fontId="3" fillId="6" borderId="22" xfId="4" applyNumberFormat="1" applyFont="1" applyBorder="1" applyAlignment="1">
      <alignment horizontal="center"/>
    </xf>
    <xf numFmtId="3" fontId="3" fillId="5" borderId="21" xfId="3" applyNumberFormat="1" applyFont="1" applyBorder="1" applyAlignment="1">
      <alignment horizontal="center"/>
    </xf>
    <xf numFmtId="3" fontId="3" fillId="5" borderId="0" xfId="3" applyNumberFormat="1" applyFont="1" applyBorder="1" applyAlignment="1">
      <alignment horizontal="center"/>
    </xf>
    <xf numFmtId="3" fontId="3" fillId="5" borderId="5" xfId="3" applyNumberFormat="1" applyFont="1" applyBorder="1" applyAlignment="1">
      <alignment horizontal="center"/>
    </xf>
    <xf numFmtId="2" fontId="3" fillId="6" borderId="9" xfId="4" applyNumberFormat="1" applyFont="1" applyBorder="1" applyAlignment="1">
      <alignment horizontal="center"/>
    </xf>
    <xf numFmtId="2" fontId="3" fillId="6" borderId="0" xfId="4" applyNumberFormat="1" applyFont="1" applyBorder="1" applyAlignment="1">
      <alignment horizontal="center"/>
    </xf>
    <xf numFmtId="4" fontId="3" fillId="5" borderId="8" xfId="3" applyNumberFormat="1" applyFont="1" applyBorder="1" applyAlignment="1">
      <alignment horizontal="center"/>
    </xf>
    <xf numFmtId="4" fontId="3" fillId="5" borderId="21" xfId="3" applyNumberFormat="1" applyFont="1" applyBorder="1" applyAlignment="1">
      <alignment horizontal="center"/>
    </xf>
    <xf numFmtId="10" fontId="3" fillId="5" borderId="3" xfId="3" applyNumberFormat="1" applyFont="1" applyBorder="1" applyAlignment="1">
      <alignment horizontal="center"/>
    </xf>
    <xf numFmtId="0" fontId="33" fillId="6" borderId="3" xfId="4" applyBorder="1"/>
    <xf numFmtId="3" fontId="33" fillId="6" borderId="21" xfId="4" applyNumberFormat="1" applyBorder="1" applyAlignment="1">
      <alignment horizontal="center"/>
    </xf>
    <xf numFmtId="0" fontId="33" fillId="6" borderId="6" xfId="4" applyBorder="1"/>
    <xf numFmtId="3" fontId="33" fillId="6" borderId="0" xfId="4" applyNumberFormat="1" applyBorder="1" applyAlignment="1">
      <alignment horizontal="center"/>
    </xf>
    <xf numFmtId="0" fontId="33" fillId="6" borderId="7" xfId="4" applyBorder="1"/>
    <xf numFmtId="3" fontId="33" fillId="6" borderId="22" xfId="4" applyNumberFormat="1" applyBorder="1" applyAlignment="1">
      <alignment horizontal="center"/>
    </xf>
    <xf numFmtId="0" fontId="14" fillId="6" borderId="3" xfId="4" applyFont="1" applyBorder="1"/>
    <xf numFmtId="3" fontId="14" fillId="6" borderId="21" xfId="4" applyNumberFormat="1" applyFont="1" applyBorder="1" applyAlignment="1">
      <alignment horizontal="center"/>
    </xf>
    <xf numFmtId="3" fontId="14" fillId="6" borderId="4" xfId="4" applyNumberFormat="1" applyFont="1" applyBorder="1" applyAlignment="1">
      <alignment horizontal="center"/>
    </xf>
    <xf numFmtId="0" fontId="14" fillId="6" borderId="6" xfId="4" applyFont="1" applyBorder="1"/>
    <xf numFmtId="3" fontId="14" fillId="6" borderId="0" xfId="4" applyNumberFormat="1" applyFont="1" applyBorder="1" applyAlignment="1">
      <alignment horizontal="center"/>
    </xf>
    <xf numFmtId="0" fontId="14" fillId="6" borderId="0" xfId="4" applyNumberFormat="1" applyFont="1" applyBorder="1" applyAlignment="1">
      <alignment horizontal="center"/>
    </xf>
    <xf numFmtId="3" fontId="14" fillId="6" borderId="5" xfId="4" applyNumberFormat="1" applyFont="1" applyBorder="1" applyAlignment="1">
      <alignment horizontal="center"/>
    </xf>
    <xf numFmtId="0" fontId="14" fillId="6" borderId="7" xfId="4" applyFont="1" applyBorder="1"/>
    <xf numFmtId="3" fontId="14" fillId="6" borderId="12" xfId="4" applyNumberFormat="1" applyFont="1" applyBorder="1" applyAlignment="1">
      <alignment horizontal="center"/>
    </xf>
    <xf numFmtId="10" fontId="3" fillId="5" borderId="22" xfId="3" applyNumberFormat="1" applyFont="1" applyBorder="1" applyAlignment="1">
      <alignment horizontal="center"/>
    </xf>
    <xf numFmtId="0" fontId="33" fillId="5" borderId="3" xfId="3" applyBorder="1"/>
    <xf numFmtId="0" fontId="33" fillId="5" borderId="7" xfId="3" applyBorder="1"/>
    <xf numFmtId="164" fontId="14" fillId="6" borderId="8" xfId="4" applyNumberFormat="1" applyFont="1" applyBorder="1" applyAlignment="1">
      <alignment horizontal="center"/>
    </xf>
    <xf numFmtId="164" fontId="14" fillId="6" borderId="21" xfId="4" applyNumberFormat="1" applyFont="1" applyBorder="1" applyAlignment="1">
      <alignment horizontal="center"/>
    </xf>
    <xf numFmtId="164" fontId="14" fillId="6" borderId="9" xfId="4" applyNumberFormat="1" applyFont="1" applyBorder="1" applyAlignment="1">
      <alignment horizontal="center"/>
    </xf>
    <xf numFmtId="164" fontId="14" fillId="6" borderId="0" xfId="4" applyNumberFormat="1" applyFont="1" applyBorder="1" applyAlignment="1">
      <alignment horizontal="center"/>
    </xf>
    <xf numFmtId="164" fontId="14" fillId="6" borderId="10" xfId="4" applyNumberFormat="1" applyFont="1" applyBorder="1" applyAlignment="1">
      <alignment horizontal="center"/>
    </xf>
    <xf numFmtId="164" fontId="14" fillId="6" borderId="22" xfId="4" applyNumberFormat="1" applyFont="1" applyBorder="1" applyAlignment="1">
      <alignment horizontal="center"/>
    </xf>
    <xf numFmtId="0" fontId="14" fillId="5" borderId="6" xfId="3" applyFont="1" applyBorder="1"/>
    <xf numFmtId="2" fontId="14" fillId="5" borderId="9" xfId="3" applyNumberFormat="1" applyFont="1" applyBorder="1" applyAlignment="1">
      <alignment horizontal="center"/>
    </xf>
    <xf numFmtId="2" fontId="14" fillId="5" borderId="0" xfId="3" applyNumberFormat="1" applyFont="1" applyBorder="1" applyAlignment="1">
      <alignment horizontal="center"/>
    </xf>
    <xf numFmtId="0" fontId="14" fillId="5" borderId="7" xfId="3" applyFont="1" applyBorder="1"/>
    <xf numFmtId="10" fontId="33" fillId="6" borderId="8" xfId="4" applyNumberFormat="1" applyBorder="1" applyAlignment="1">
      <alignment horizontal="center"/>
    </xf>
    <xf numFmtId="10" fontId="33" fillId="6" borderId="3" xfId="4" applyNumberFormat="1" applyBorder="1" applyAlignment="1">
      <alignment horizontal="center"/>
    </xf>
    <xf numFmtId="10" fontId="14" fillId="6" borderId="8" xfId="4" applyNumberFormat="1" applyFont="1" applyBorder="1" applyAlignment="1">
      <alignment horizontal="center"/>
    </xf>
    <xf numFmtId="10" fontId="14" fillId="6" borderId="3" xfId="4" applyNumberFormat="1" applyFont="1" applyBorder="1" applyAlignment="1">
      <alignment horizontal="center"/>
    </xf>
    <xf numFmtId="10" fontId="14" fillId="6" borderId="0" xfId="4" applyNumberFormat="1" applyFont="1" applyBorder="1" applyAlignment="1">
      <alignment horizontal="center"/>
    </xf>
    <xf numFmtId="2" fontId="14" fillId="6" borderId="22" xfId="4" applyNumberFormat="1" applyFont="1" applyBorder="1" applyAlignment="1">
      <alignment horizontal="center"/>
    </xf>
    <xf numFmtId="10" fontId="14" fillId="6" borderId="21" xfId="4" applyNumberFormat="1" applyFont="1" applyBorder="1" applyAlignment="1">
      <alignment horizontal="center"/>
    </xf>
    <xf numFmtId="10" fontId="14" fillId="6" borderId="4" xfId="4" applyNumberFormat="1" applyFont="1" applyBorder="1" applyAlignment="1">
      <alignment horizontal="center"/>
    </xf>
    <xf numFmtId="0" fontId="19" fillId="6" borderId="7" xfId="4" applyFont="1" applyBorder="1"/>
    <xf numFmtId="0" fontId="19" fillId="5" borderId="3" xfId="3" applyFont="1" applyBorder="1" applyAlignment="1">
      <alignment horizontal="center"/>
    </xf>
    <xf numFmtId="0" fontId="19" fillId="5" borderId="6" xfId="3" applyFont="1" applyBorder="1" applyAlignment="1">
      <alignment horizontal="center"/>
    </xf>
    <xf numFmtId="0" fontId="19" fillId="5" borderId="11" xfId="3" applyFont="1" applyBorder="1" applyAlignment="1">
      <alignment horizontal="center"/>
    </xf>
    <xf numFmtId="0" fontId="19" fillId="6" borderId="3" xfId="4" applyFont="1" applyBorder="1" applyAlignment="1">
      <alignment horizontal="center"/>
    </xf>
    <xf numFmtId="0" fontId="19" fillId="6" borderId="6" xfId="4" applyFont="1" applyBorder="1" applyAlignment="1">
      <alignment horizontal="center"/>
    </xf>
    <xf numFmtId="0" fontId="19" fillId="6" borderId="7" xfId="4" applyFont="1" applyBorder="1" applyAlignment="1">
      <alignment horizontal="center"/>
    </xf>
    <xf numFmtId="0" fontId="19" fillId="5" borderId="7" xfId="3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9" fillId="6" borderId="11" xfId="4" applyFont="1" applyBorder="1" applyAlignment="1">
      <alignment horizontal="center"/>
    </xf>
    <xf numFmtId="0" fontId="20" fillId="0" borderId="0" xfId="3" applyFont="1" applyFill="1" applyBorder="1"/>
    <xf numFmtId="0" fontId="21" fillId="0" borderId="0" xfId="3" applyFont="1" applyFill="1" applyBorder="1"/>
    <xf numFmtId="0" fontId="22" fillId="0" borderId="0" xfId="0" applyFont="1"/>
    <xf numFmtId="2" fontId="1" fillId="0" borderId="0" xfId="4" applyNumberFormat="1" applyFont="1" applyFill="1" applyBorder="1" applyAlignment="1">
      <alignment horizontal="center"/>
    </xf>
    <xf numFmtId="3" fontId="1" fillId="6" borderId="11" xfId="4" applyNumberFormat="1" applyFont="1" applyBorder="1" applyAlignment="1">
      <alignment horizontal="center"/>
    </xf>
    <xf numFmtId="3" fontId="3" fillId="5" borderId="3" xfId="3" applyNumberFormat="1" applyFont="1" applyBorder="1" applyAlignment="1">
      <alignment horizontal="center"/>
    </xf>
    <xf numFmtId="3" fontId="3" fillId="5" borderId="6" xfId="3" applyNumberFormat="1" applyFont="1" applyBorder="1" applyAlignment="1">
      <alignment horizontal="center"/>
    </xf>
    <xf numFmtId="3" fontId="3" fillId="5" borderId="7" xfId="3" applyNumberFormat="1" applyFont="1" applyBorder="1" applyAlignment="1">
      <alignment horizontal="center"/>
    </xf>
    <xf numFmtId="3" fontId="33" fillId="6" borderId="9" xfId="4" applyNumberFormat="1" applyBorder="1" applyAlignment="1">
      <alignment horizontal="center"/>
    </xf>
    <xf numFmtId="3" fontId="14" fillId="6" borderId="9" xfId="4" applyNumberFormat="1" applyFont="1" applyBorder="1" applyAlignment="1">
      <alignment horizontal="center"/>
    </xf>
    <xf numFmtId="3" fontId="14" fillId="6" borderId="10" xfId="4" applyNumberFormat="1" applyFont="1" applyBorder="1" applyAlignment="1">
      <alignment horizontal="center"/>
    </xf>
    <xf numFmtId="3" fontId="14" fillId="6" borderId="6" xfId="4" applyNumberFormat="1" applyFont="1" applyBorder="1" applyAlignment="1">
      <alignment horizontal="center"/>
    </xf>
    <xf numFmtId="3" fontId="14" fillId="6" borderId="7" xfId="4" applyNumberFormat="1" applyFont="1" applyBorder="1" applyAlignment="1">
      <alignment horizontal="center"/>
    </xf>
    <xf numFmtId="3" fontId="33" fillId="5" borderId="6" xfId="3" applyNumberFormat="1" applyBorder="1" applyAlignment="1">
      <alignment horizontal="center"/>
    </xf>
    <xf numFmtId="10" fontId="33" fillId="5" borderId="10" xfId="3" applyNumberFormat="1" applyBorder="1" applyAlignment="1">
      <alignment horizontal="center"/>
    </xf>
    <xf numFmtId="0" fontId="14" fillId="5" borderId="3" xfId="3" applyFont="1" applyBorder="1"/>
    <xf numFmtId="3" fontId="14" fillId="5" borderId="6" xfId="3" applyNumberFormat="1" applyFont="1" applyBorder="1" applyAlignment="1">
      <alignment horizontal="center"/>
    </xf>
    <xf numFmtId="10" fontId="14" fillId="5" borderId="10" xfId="3" applyNumberFormat="1" applyFont="1" applyBorder="1" applyAlignment="1">
      <alignment horizontal="center"/>
    </xf>
    <xf numFmtId="3" fontId="33" fillId="6" borderId="6" xfId="4" applyNumberFormat="1" applyBorder="1" applyAlignment="1">
      <alignment horizontal="center"/>
    </xf>
    <xf numFmtId="10" fontId="14" fillId="6" borderId="6" xfId="4" applyNumberFormat="1" applyFont="1" applyBorder="1" applyAlignment="1">
      <alignment horizontal="center"/>
    </xf>
    <xf numFmtId="0" fontId="33" fillId="6" borderId="8" xfId="4" applyBorder="1"/>
    <xf numFmtId="0" fontId="33" fillId="6" borderId="10" xfId="4" applyBorder="1"/>
    <xf numFmtId="10" fontId="33" fillId="5" borderId="7" xfId="3" applyNumberFormat="1" applyBorder="1" applyAlignment="1">
      <alignment horizontal="center"/>
    </xf>
    <xf numFmtId="10" fontId="14" fillId="5" borderId="7" xfId="3" applyNumberFormat="1" applyFont="1" applyBorder="1" applyAlignment="1">
      <alignment horizontal="center"/>
    </xf>
    <xf numFmtId="2" fontId="14" fillId="5" borderId="21" xfId="3" applyNumberFormat="1" applyFont="1" applyBorder="1" applyAlignment="1">
      <alignment horizontal="center"/>
    </xf>
    <xf numFmtId="2" fontId="14" fillId="5" borderId="3" xfId="3" applyNumberFormat="1" applyFont="1" applyBorder="1" applyAlignment="1">
      <alignment horizontal="center"/>
    </xf>
    <xf numFmtId="164" fontId="14" fillId="5" borderId="22" xfId="3" applyNumberFormat="1" applyFont="1" applyBorder="1" applyAlignment="1">
      <alignment horizontal="center"/>
    </xf>
    <xf numFmtId="164" fontId="14" fillId="5" borderId="7" xfId="3" applyNumberFormat="1" applyFont="1" applyBorder="1" applyAlignment="1">
      <alignment horizontal="center"/>
    </xf>
    <xf numFmtId="164" fontId="14" fillId="5" borderId="12" xfId="3" applyNumberFormat="1" applyFont="1" applyBorder="1" applyAlignment="1">
      <alignment horizontal="center"/>
    </xf>
    <xf numFmtId="10" fontId="33" fillId="6" borderId="10" xfId="4" applyNumberFormat="1" applyBorder="1" applyAlignment="1">
      <alignment horizontal="center"/>
    </xf>
    <xf numFmtId="10" fontId="33" fillId="6" borderId="7" xfId="4" applyNumberFormat="1" applyBorder="1" applyAlignment="1">
      <alignment horizontal="center"/>
    </xf>
    <xf numFmtId="10" fontId="14" fillId="6" borderId="10" xfId="4" applyNumberFormat="1" applyFont="1" applyBorder="1" applyAlignment="1">
      <alignment horizontal="center"/>
    </xf>
    <xf numFmtId="10" fontId="14" fillId="6" borderId="7" xfId="4" applyNumberFormat="1" applyFont="1" applyBorder="1" applyAlignment="1">
      <alignment horizontal="center"/>
    </xf>
    <xf numFmtId="10" fontId="14" fillId="6" borderId="12" xfId="4" applyNumberFormat="1" applyFont="1" applyBorder="1" applyAlignment="1">
      <alignment horizontal="center"/>
    </xf>
    <xf numFmtId="2" fontId="14" fillId="5" borderId="6" xfId="3" applyNumberFormat="1" applyFon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14" fontId="0" fillId="0" borderId="24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65" fontId="0" fillId="0" borderId="14" xfId="0" applyNumberFormat="1" applyBorder="1" applyAlignment="1">
      <alignment horizontal="center"/>
    </xf>
    <xf numFmtId="165" fontId="0" fillId="0" borderId="19" xfId="0" applyNumberFormat="1" applyBorder="1" applyAlignment="1">
      <alignment horizontal="center"/>
    </xf>
    <xf numFmtId="14" fontId="0" fillId="0" borderId="20" xfId="0" applyNumberFormat="1" applyBorder="1" applyAlignment="1">
      <alignment horizontal="center"/>
    </xf>
    <xf numFmtId="0" fontId="11" fillId="0" borderId="16" xfId="0" applyFont="1" applyBorder="1" applyAlignment="1">
      <alignment horizontal="left"/>
    </xf>
    <xf numFmtId="0" fontId="11" fillId="0" borderId="17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15" fillId="0" borderId="16" xfId="0" applyFont="1" applyBorder="1"/>
    <xf numFmtId="0" fontId="15" fillId="0" borderId="17" xfId="0" applyFont="1" applyBorder="1"/>
    <xf numFmtId="0" fontId="15" fillId="0" borderId="18" xfId="0" applyFont="1" applyBorder="1"/>
    <xf numFmtId="2" fontId="14" fillId="6" borderId="9" xfId="4" applyNumberFormat="1" applyFont="1" applyBorder="1" applyAlignment="1">
      <alignment horizontal="center"/>
    </xf>
    <xf numFmtId="10" fontId="3" fillId="6" borderId="6" xfId="4" applyNumberFormat="1" applyFont="1" applyBorder="1" applyAlignment="1">
      <alignment horizontal="center"/>
    </xf>
    <xf numFmtId="2" fontId="14" fillId="6" borderId="6" xfId="4" applyNumberFormat="1" applyFont="1" applyBorder="1" applyAlignment="1">
      <alignment horizontal="center"/>
    </xf>
    <xf numFmtId="10" fontId="3" fillId="6" borderId="3" xfId="4" applyNumberFormat="1" applyFont="1" applyBorder="1" applyAlignment="1">
      <alignment horizontal="center"/>
    </xf>
    <xf numFmtId="0" fontId="33" fillId="5" borderId="9" xfId="3" applyBorder="1"/>
    <xf numFmtId="10" fontId="3" fillId="6" borderId="7" xfId="4" applyNumberFormat="1" applyFont="1" applyBorder="1" applyAlignment="1">
      <alignment horizontal="center"/>
    </xf>
    <xf numFmtId="0" fontId="23" fillId="0" borderId="0" xfId="4" applyFont="1" applyFill="1" applyBorder="1"/>
    <xf numFmtId="0" fontId="15" fillId="0" borderId="0" xfId="0" applyFont="1"/>
    <xf numFmtId="10" fontId="3" fillId="5" borderId="7" xfId="3" applyNumberFormat="1" applyFont="1" applyBorder="1" applyAlignment="1">
      <alignment horizontal="center"/>
    </xf>
    <xf numFmtId="0" fontId="33" fillId="5" borderId="8" xfId="3" applyBorder="1"/>
    <xf numFmtId="3" fontId="33" fillId="5" borderId="8" xfId="3" applyNumberFormat="1" applyBorder="1" applyAlignment="1">
      <alignment horizontal="center"/>
    </xf>
    <xf numFmtId="3" fontId="33" fillId="5" borderId="3" xfId="3" applyNumberFormat="1" applyBorder="1" applyAlignment="1">
      <alignment horizontal="center"/>
    </xf>
    <xf numFmtId="3" fontId="33" fillId="5" borderId="7" xfId="3" applyNumberFormat="1" applyBorder="1" applyAlignment="1">
      <alignment horizontal="center"/>
    </xf>
    <xf numFmtId="0" fontId="33" fillId="5" borderId="10" xfId="3" applyBorder="1"/>
    <xf numFmtId="3" fontId="14" fillId="5" borderId="8" xfId="3" applyNumberFormat="1" applyFont="1" applyBorder="1" applyAlignment="1">
      <alignment horizontal="center"/>
    </xf>
    <xf numFmtId="3" fontId="14" fillId="5" borderId="3" xfId="3" applyNumberFormat="1" applyFont="1" applyBorder="1" applyAlignment="1">
      <alignment horizontal="center"/>
    </xf>
    <xf numFmtId="3" fontId="14" fillId="5" borderId="9" xfId="3" applyNumberFormat="1" applyFont="1" applyBorder="1" applyAlignment="1">
      <alignment horizontal="center"/>
    </xf>
    <xf numFmtId="3" fontId="14" fillId="5" borderId="10" xfId="3" applyNumberFormat="1" applyFont="1" applyBorder="1" applyAlignment="1">
      <alignment horizontal="center"/>
    </xf>
    <xf numFmtId="3" fontId="14" fillId="5" borderId="7" xfId="3" applyNumberFormat="1" applyFont="1" applyBorder="1" applyAlignment="1">
      <alignment horizontal="center"/>
    </xf>
    <xf numFmtId="3" fontId="33" fillId="6" borderId="8" xfId="4" applyNumberFormat="1" applyBorder="1" applyAlignment="1">
      <alignment horizontal="center"/>
    </xf>
    <xf numFmtId="3" fontId="33" fillId="6" borderId="3" xfId="4" applyNumberFormat="1" applyBorder="1" applyAlignment="1">
      <alignment horizontal="center"/>
    </xf>
    <xf numFmtId="3" fontId="33" fillId="6" borderId="7" xfId="4" applyNumberFormat="1" applyBorder="1" applyAlignment="1">
      <alignment horizontal="center"/>
    </xf>
    <xf numFmtId="10" fontId="3" fillId="6" borderId="22" xfId="4" applyNumberFormat="1" applyFont="1" applyBorder="1" applyAlignment="1">
      <alignment horizontal="center"/>
    </xf>
    <xf numFmtId="3" fontId="33" fillId="5" borderId="0" xfId="3" applyNumberFormat="1" applyBorder="1" applyAlignment="1">
      <alignment horizontal="center"/>
    </xf>
    <xf numFmtId="4" fontId="33" fillId="5" borderId="0" xfId="3" applyNumberFormat="1" applyBorder="1" applyAlignment="1">
      <alignment horizontal="center"/>
    </xf>
    <xf numFmtId="3" fontId="33" fillId="5" borderId="21" xfId="3" applyNumberFormat="1" applyBorder="1" applyAlignment="1">
      <alignment horizontal="center"/>
    </xf>
    <xf numFmtId="3" fontId="33" fillId="5" borderId="22" xfId="3" applyNumberFormat="1" applyBorder="1" applyAlignment="1">
      <alignment horizontal="center"/>
    </xf>
    <xf numFmtId="3" fontId="3" fillId="0" borderId="0" xfId="4" applyNumberFormat="1" applyFont="1" applyFill="1" applyBorder="1" applyAlignment="1">
      <alignment horizontal="center"/>
    </xf>
    <xf numFmtId="10" fontId="3" fillId="0" borderId="0" xfId="4" applyNumberFormat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14" fillId="6" borderId="13" xfId="4" applyFont="1" applyBorder="1"/>
    <xf numFmtId="10" fontId="14" fillId="6" borderId="13" xfId="4" applyNumberFormat="1" applyFont="1" applyBorder="1" applyAlignment="1">
      <alignment horizontal="center"/>
    </xf>
    <xf numFmtId="10" fontId="14" fillId="6" borderId="11" xfId="4" applyNumberFormat="1" applyFont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4" fillId="6" borderId="11" xfId="4" applyFont="1" applyBorder="1"/>
    <xf numFmtId="0" fontId="24" fillId="3" borderId="23" xfId="1" applyFont="1" applyBorder="1" applyAlignment="1">
      <alignment horizontal="center"/>
    </xf>
    <xf numFmtId="0" fontId="24" fillId="3" borderId="24" xfId="1" applyFont="1" applyBorder="1" applyAlignment="1">
      <alignment horizontal="center"/>
    </xf>
    <xf numFmtId="10" fontId="0" fillId="0" borderId="0" xfId="0" applyNumberFormat="1"/>
    <xf numFmtId="0" fontId="24" fillId="0" borderId="0" xfId="1" applyFont="1" applyFill="1" applyBorder="1" applyAlignment="1">
      <alignment horizontal="center"/>
    </xf>
    <xf numFmtId="3" fontId="33" fillId="6" borderId="10" xfId="4" applyNumberFormat="1" applyBorder="1" applyAlignment="1">
      <alignment horizontal="center"/>
    </xf>
    <xf numFmtId="4" fontId="33" fillId="5" borderId="6" xfId="3" applyNumberFormat="1" applyBorder="1" applyAlignment="1">
      <alignment horizontal="center"/>
    </xf>
    <xf numFmtId="166" fontId="25" fillId="6" borderId="14" xfId="4" applyNumberFormat="1" applyFont="1" applyBorder="1" applyAlignment="1">
      <alignment horizontal="center"/>
    </xf>
    <xf numFmtId="0" fontId="24" fillId="3" borderId="16" xfId="1" applyFont="1" applyBorder="1" applyAlignment="1">
      <alignment horizontal="center"/>
    </xf>
    <xf numFmtId="10" fontId="14" fillId="6" borderId="25" xfId="4" applyNumberFormat="1" applyFont="1" applyBorder="1" applyAlignment="1">
      <alignment horizontal="center"/>
    </xf>
    <xf numFmtId="10" fontId="14" fillId="5" borderId="25" xfId="3" applyNumberFormat="1" applyFont="1" applyBorder="1" applyAlignment="1">
      <alignment horizontal="center"/>
    </xf>
    <xf numFmtId="10" fontId="14" fillId="5" borderId="26" xfId="3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0" fontId="33" fillId="6" borderId="6" xfId="4" applyNumberFormat="1" applyBorder="1" applyAlignment="1">
      <alignment horizontal="center"/>
    </xf>
    <xf numFmtId="10" fontId="33" fillId="6" borderId="0" xfId="4" applyNumberFormat="1" applyBorder="1" applyAlignment="1">
      <alignment horizontal="center"/>
    </xf>
    <xf numFmtId="4" fontId="33" fillId="0" borderId="0" xfId="3" applyNumberFormat="1" applyFill="1" applyBorder="1" applyAlignment="1">
      <alignment horizontal="center"/>
    </xf>
    <xf numFmtId="0" fontId="22" fillId="0" borderId="0" xfId="0" applyFont="1" applyFill="1"/>
    <xf numFmtId="0" fontId="34" fillId="0" borderId="0" xfId="5" applyFill="1" applyAlignment="1" applyProtection="1"/>
    <xf numFmtId="0" fontId="15" fillId="0" borderId="16" xfId="0" applyFont="1" applyFill="1" applyBorder="1"/>
    <xf numFmtId="2" fontId="0" fillId="0" borderId="23" xfId="0" applyNumberFormat="1" applyFill="1" applyBorder="1" applyAlignment="1">
      <alignment horizontal="center"/>
    </xf>
    <xf numFmtId="14" fontId="0" fillId="0" borderId="24" xfId="0" applyNumberFormat="1" applyFill="1" applyBorder="1" applyAlignment="1">
      <alignment horizontal="center"/>
    </xf>
    <xf numFmtId="0" fontId="15" fillId="0" borderId="17" xfId="0" applyFont="1" applyFill="1" applyBorder="1"/>
    <xf numFmtId="2" fontId="0" fillId="0" borderId="14" xfId="0" applyNumberFormat="1" applyFill="1" applyBorder="1" applyAlignment="1">
      <alignment horizontal="center"/>
    </xf>
    <xf numFmtId="14" fontId="0" fillId="0" borderId="15" xfId="0" applyNumberFormat="1" applyFill="1" applyBorder="1" applyAlignment="1">
      <alignment horizontal="center"/>
    </xf>
    <xf numFmtId="165" fontId="0" fillId="0" borderId="14" xfId="0" applyNumberFormat="1" applyFill="1" applyBorder="1" applyAlignment="1">
      <alignment horizontal="center"/>
    </xf>
    <xf numFmtId="0" fontId="15" fillId="0" borderId="18" xfId="0" applyFont="1" applyFill="1" applyBorder="1"/>
    <xf numFmtId="165" fontId="0" fillId="0" borderId="19" xfId="0" applyNumberFormat="1" applyFill="1" applyBorder="1" applyAlignment="1">
      <alignment horizontal="center"/>
    </xf>
    <xf numFmtId="14" fontId="0" fillId="0" borderId="20" xfId="0" applyNumberFormat="1" applyFill="1" applyBorder="1" applyAlignment="1">
      <alignment horizontal="center"/>
    </xf>
    <xf numFmtId="2" fontId="3" fillId="5" borderId="6" xfId="3" applyNumberFormat="1" applyFont="1" applyBorder="1" applyAlignment="1">
      <alignment horizontal="center"/>
    </xf>
    <xf numFmtId="10" fontId="0" fillId="0" borderId="24" xfId="0" applyNumberFormat="1" applyFill="1" applyBorder="1" applyAlignment="1">
      <alignment horizontal="center"/>
    </xf>
    <xf numFmtId="10" fontId="0" fillId="0" borderId="15" xfId="0" applyNumberFormat="1" applyFill="1" applyBorder="1" applyAlignment="1">
      <alignment horizontal="center"/>
    </xf>
    <xf numFmtId="10" fontId="0" fillId="0" borderId="20" xfId="0" applyNumberFormat="1" applyFill="1" applyBorder="1" applyAlignment="1">
      <alignment horizontal="center"/>
    </xf>
    <xf numFmtId="3" fontId="33" fillId="0" borderId="0" xfId="3" applyNumberFormat="1" applyFill="1" applyBorder="1" applyAlignment="1">
      <alignment horizontal="center"/>
    </xf>
    <xf numFmtId="3" fontId="29" fillId="0" borderId="0" xfId="3" applyNumberFormat="1" applyFont="1" applyFill="1" applyBorder="1" applyAlignment="1">
      <alignment horizontal="center"/>
    </xf>
    <xf numFmtId="3" fontId="30" fillId="0" borderId="0" xfId="3" applyNumberFormat="1" applyFont="1" applyFill="1" applyBorder="1" applyAlignment="1">
      <alignment horizontal="center"/>
    </xf>
    <xf numFmtId="0" fontId="0" fillId="0" borderId="0" xfId="0" applyAlignment="1"/>
    <xf numFmtId="0" fontId="0" fillId="0" borderId="0" xfId="0" applyFill="1" applyAlignment="1"/>
    <xf numFmtId="0" fontId="22" fillId="0" borderId="0" xfId="0" applyFont="1" applyFill="1" applyAlignment="1"/>
    <xf numFmtId="0" fontId="18" fillId="0" borderId="0" xfId="0" applyFont="1" applyAlignment="1"/>
    <xf numFmtId="0" fontId="22" fillId="0" borderId="0" xfId="0" applyFont="1" applyFill="1" applyBorder="1" applyAlignment="1"/>
    <xf numFmtId="0" fontId="0" fillId="0" borderId="0" xfId="0" applyFill="1" applyBorder="1" applyAlignment="1"/>
    <xf numFmtId="3" fontId="33" fillId="7" borderId="3" xfId="3" applyNumberFormat="1" applyFill="1" applyBorder="1" applyAlignment="1">
      <alignment horizontal="center"/>
    </xf>
    <xf numFmtId="3" fontId="33" fillId="8" borderId="3" xfId="3" applyNumberFormat="1" applyFill="1" applyBorder="1" applyAlignment="1">
      <alignment horizontal="center"/>
    </xf>
    <xf numFmtId="3" fontId="33" fillId="8" borderId="6" xfId="3" applyNumberFormat="1" applyFill="1" applyBorder="1" applyAlignment="1">
      <alignment horizontal="center"/>
    </xf>
    <xf numFmtId="3" fontId="33" fillId="8" borderId="0" xfId="3" applyNumberFormat="1" applyFill="1" applyBorder="1" applyAlignment="1">
      <alignment horizontal="center"/>
    </xf>
    <xf numFmtId="10" fontId="27" fillId="8" borderId="7" xfId="6" applyNumberFormat="1" applyFont="1" applyFill="1" applyBorder="1" applyAlignment="1">
      <alignment horizontal="center"/>
    </xf>
    <xf numFmtId="10" fontId="27" fillId="8" borderId="22" xfId="6" applyNumberFormat="1" applyFont="1" applyFill="1" applyBorder="1" applyAlignment="1">
      <alignment horizontal="center"/>
    </xf>
    <xf numFmtId="3" fontId="3" fillId="8" borderId="1" xfId="4" applyNumberFormat="1" applyFont="1" applyFill="1" applyBorder="1" applyAlignment="1">
      <alignment horizontal="center"/>
    </xf>
    <xf numFmtId="3" fontId="33" fillId="8" borderId="2" xfId="3" applyNumberFormat="1" applyFill="1" applyBorder="1" applyAlignment="1">
      <alignment horizontal="center"/>
    </xf>
    <xf numFmtId="3" fontId="33" fillId="8" borderId="21" xfId="3" applyNumberFormat="1" applyFill="1" applyBorder="1" applyAlignment="1">
      <alignment horizontal="center"/>
    </xf>
    <xf numFmtId="3" fontId="33" fillId="8" borderId="9" xfId="3" applyNumberFormat="1" applyFill="1" applyBorder="1" applyAlignment="1">
      <alignment horizontal="center"/>
    </xf>
    <xf numFmtId="0" fontId="3" fillId="8" borderId="7" xfId="3" applyFont="1" applyFill="1" applyBorder="1"/>
    <xf numFmtId="10" fontId="27" fillId="8" borderId="10" xfId="6" applyNumberFormat="1" applyFont="1" applyFill="1" applyBorder="1" applyAlignment="1">
      <alignment horizontal="center"/>
    </xf>
    <xf numFmtId="3" fontId="33" fillId="8" borderId="5" xfId="3" applyNumberFormat="1" applyFill="1" applyBorder="1" applyAlignment="1">
      <alignment horizontal="center"/>
    </xf>
    <xf numFmtId="10" fontId="27" fillId="8" borderId="12" xfId="6" applyNumberFormat="1" applyFont="1" applyFill="1" applyBorder="1" applyAlignment="1">
      <alignment horizontal="center"/>
    </xf>
    <xf numFmtId="0" fontId="2" fillId="2" borderId="13" xfId="0" applyFont="1" applyFill="1" applyBorder="1"/>
    <xf numFmtId="0" fontId="2" fillId="3" borderId="11" xfId="1" applyFont="1" applyBorder="1"/>
    <xf numFmtId="2" fontId="3" fillId="6" borderId="6" xfId="4" applyNumberFormat="1" applyFont="1" applyBorder="1" applyAlignment="1">
      <alignment horizontal="center"/>
    </xf>
    <xf numFmtId="4" fontId="3" fillId="5" borderId="3" xfId="3" applyNumberFormat="1" applyFont="1" applyBorder="1" applyAlignment="1">
      <alignment horizontal="center"/>
    </xf>
    <xf numFmtId="164" fontId="14" fillId="6" borderId="3" xfId="4" applyNumberFormat="1" applyFont="1" applyBorder="1" applyAlignment="1">
      <alignment horizontal="center"/>
    </xf>
    <xf numFmtId="164" fontId="14" fillId="6" borderId="6" xfId="4" applyNumberFormat="1" applyFont="1" applyBorder="1" applyAlignment="1">
      <alignment horizontal="center"/>
    </xf>
    <xf numFmtId="164" fontId="14" fillId="6" borderId="7" xfId="4" applyNumberFormat="1" applyFont="1" applyBorder="1" applyAlignment="1">
      <alignment horizontal="center"/>
    </xf>
    <xf numFmtId="2" fontId="14" fillId="6" borderId="7" xfId="4" applyNumberFormat="1" applyFont="1" applyBorder="1" applyAlignment="1">
      <alignment horizontal="center"/>
    </xf>
    <xf numFmtId="0" fontId="9" fillId="3" borderId="1" xfId="1" applyFont="1" applyBorder="1"/>
    <xf numFmtId="0" fontId="10" fillId="4" borderId="1" xfId="2" applyFont="1" applyBorder="1"/>
    <xf numFmtId="0" fontId="3" fillId="8" borderId="3" xfId="3" applyFont="1" applyFill="1" applyBorder="1"/>
    <xf numFmtId="2" fontId="14" fillId="8" borderId="4" xfId="4" applyNumberFormat="1" applyFont="1" applyFill="1" applyBorder="1" applyAlignment="1">
      <alignment horizontal="center"/>
    </xf>
    <xf numFmtId="2" fontId="14" fillId="8" borderId="0" xfId="4" applyNumberFormat="1" applyFont="1" applyFill="1" applyBorder="1" applyAlignment="1">
      <alignment horizontal="center"/>
    </xf>
    <xf numFmtId="2" fontId="14" fillId="8" borderId="3" xfId="4" applyNumberFormat="1" applyFont="1" applyFill="1" applyBorder="1" applyAlignment="1">
      <alignment horizontal="center"/>
    </xf>
    <xf numFmtId="0" fontId="3" fillId="8" borderId="6" xfId="3" applyFont="1" applyFill="1" applyBorder="1"/>
    <xf numFmtId="2" fontId="14" fillId="8" borderId="5" xfId="4" applyNumberFormat="1" applyFont="1" applyFill="1" applyBorder="1" applyAlignment="1">
      <alignment horizontal="center"/>
    </xf>
    <xf numFmtId="2" fontId="14" fillId="8" borderId="6" xfId="4" applyNumberFormat="1" applyFont="1" applyFill="1" applyBorder="1" applyAlignment="1">
      <alignment horizontal="center"/>
    </xf>
    <xf numFmtId="10" fontId="14" fillId="8" borderId="5" xfId="4" applyNumberFormat="1" applyFont="1" applyFill="1" applyBorder="1" applyAlignment="1">
      <alignment horizontal="center"/>
    </xf>
    <xf numFmtId="10" fontId="14" fillId="8" borderId="0" xfId="4" applyNumberFormat="1" applyFont="1" applyFill="1" applyBorder="1" applyAlignment="1">
      <alignment horizontal="center"/>
    </xf>
    <xf numFmtId="10" fontId="14" fillId="8" borderId="6" xfId="4" applyNumberFormat="1" applyFont="1" applyFill="1" applyBorder="1" applyAlignment="1">
      <alignment horizontal="center"/>
    </xf>
    <xf numFmtId="10" fontId="14" fillId="8" borderId="12" xfId="4" applyNumberFormat="1" applyFont="1" applyFill="1" applyBorder="1" applyAlignment="1">
      <alignment horizontal="center"/>
    </xf>
    <xf numFmtId="10" fontId="14" fillId="8" borderId="22" xfId="4" applyNumberFormat="1" applyFont="1" applyFill="1" applyBorder="1" applyAlignment="1">
      <alignment horizontal="center"/>
    </xf>
    <xf numFmtId="10" fontId="14" fillId="8" borderId="7" xfId="4" applyNumberFormat="1" applyFont="1" applyFill="1" applyBorder="1" applyAlignment="1">
      <alignment horizontal="center"/>
    </xf>
    <xf numFmtId="0" fontId="19" fillId="0" borderId="0" xfId="3" applyFont="1" applyFill="1" applyBorder="1" applyAlignment="1">
      <alignment horizontal="center"/>
    </xf>
    <xf numFmtId="0" fontId="19" fillId="5" borderId="8" xfId="3" applyFont="1" applyBorder="1" applyAlignment="1">
      <alignment horizontal="center"/>
    </xf>
    <xf numFmtId="0" fontId="19" fillId="5" borderId="10" xfId="3" applyFont="1" applyBorder="1" applyAlignment="1">
      <alignment horizontal="center"/>
    </xf>
    <xf numFmtId="0" fontId="19" fillId="0" borderId="0" xfId="4" applyFont="1" applyFill="1" applyBorder="1" applyAlignment="1">
      <alignment horizontal="center"/>
    </xf>
    <xf numFmtId="0" fontId="19" fillId="6" borderId="8" xfId="4" applyFont="1" applyBorder="1" applyAlignment="1">
      <alignment horizontal="center"/>
    </xf>
    <xf numFmtId="0" fontId="19" fillId="6" borderId="10" xfId="4" applyFont="1" applyBorder="1" applyAlignment="1">
      <alignment horizontal="center"/>
    </xf>
    <xf numFmtId="3" fontId="3" fillId="7" borderId="8" xfId="4" applyNumberFormat="1" applyFont="1" applyFill="1" applyBorder="1" applyAlignment="1">
      <alignment horizontal="center"/>
    </xf>
    <xf numFmtId="3" fontId="3" fillId="7" borderId="9" xfId="4" applyNumberFormat="1" applyFont="1" applyFill="1" applyBorder="1" applyAlignment="1">
      <alignment horizontal="center"/>
    </xf>
    <xf numFmtId="3" fontId="3" fillId="7" borderId="10" xfId="4" applyNumberFormat="1" applyFont="1" applyFill="1" applyBorder="1" applyAlignment="1">
      <alignment horizontal="center"/>
    </xf>
    <xf numFmtId="3" fontId="33" fillId="8" borderId="10" xfId="3" applyNumberFormat="1" applyFill="1" applyBorder="1" applyAlignment="1">
      <alignment horizontal="center"/>
    </xf>
    <xf numFmtId="3" fontId="33" fillId="8" borderId="7" xfId="3" applyNumberFormat="1" applyFill="1" applyBorder="1" applyAlignment="1">
      <alignment horizontal="center"/>
    </xf>
    <xf numFmtId="3" fontId="33" fillId="8" borderId="22" xfId="3" applyNumberFormat="1" applyFill="1" applyBorder="1" applyAlignment="1">
      <alignment horizontal="center"/>
    </xf>
    <xf numFmtId="3" fontId="3" fillId="7" borderId="3" xfId="4" applyNumberFormat="1" applyFont="1" applyFill="1" applyBorder="1" applyAlignment="1">
      <alignment horizontal="center"/>
    </xf>
    <xf numFmtId="3" fontId="3" fillId="7" borderId="21" xfId="4" applyNumberFormat="1" applyFont="1" applyFill="1" applyBorder="1" applyAlignment="1">
      <alignment horizontal="center"/>
    </xf>
    <xf numFmtId="3" fontId="3" fillId="7" borderId="4" xfId="4" applyNumberFormat="1" applyFont="1" applyFill="1" applyBorder="1" applyAlignment="1">
      <alignment horizontal="center"/>
    </xf>
    <xf numFmtId="10" fontId="3" fillId="7" borderId="6" xfId="6" applyNumberFormat="1" applyFont="1" applyFill="1" applyBorder="1" applyAlignment="1">
      <alignment horizontal="center"/>
    </xf>
    <xf numFmtId="10" fontId="3" fillId="7" borderId="6" xfId="4" applyNumberFormat="1" applyFont="1" applyFill="1" applyBorder="1" applyAlignment="1">
      <alignment horizontal="center"/>
    </xf>
    <xf numFmtId="10" fontId="3" fillId="7" borderId="0" xfId="4" applyNumberFormat="1" applyFont="1" applyFill="1" applyBorder="1" applyAlignment="1">
      <alignment horizontal="center"/>
    </xf>
    <xf numFmtId="10" fontId="3" fillId="7" borderId="5" xfId="4" applyNumberFormat="1" applyFont="1" applyFill="1" applyBorder="1" applyAlignment="1">
      <alignment horizontal="center"/>
    </xf>
    <xf numFmtId="3" fontId="3" fillId="8" borderId="7" xfId="4" applyNumberFormat="1" applyFont="1" applyFill="1" applyBorder="1" applyAlignment="1">
      <alignment horizontal="center"/>
    </xf>
    <xf numFmtId="3" fontId="3" fillId="8" borderId="3" xfId="4" applyNumberFormat="1" applyFont="1" applyFill="1" applyBorder="1" applyAlignment="1">
      <alignment horizontal="center"/>
    </xf>
    <xf numFmtId="3" fontId="3" fillId="8" borderId="8" xfId="4" applyNumberFormat="1" applyFont="1" applyFill="1" applyBorder="1" applyAlignment="1">
      <alignment horizontal="center"/>
    </xf>
    <xf numFmtId="3" fontId="3" fillId="8" borderId="10" xfId="4" applyNumberFormat="1" applyFont="1" applyFill="1" applyBorder="1" applyAlignment="1">
      <alignment horizontal="center"/>
    </xf>
    <xf numFmtId="10" fontId="3" fillId="7" borderId="9" xfId="6" applyNumberFormat="1" applyFont="1" applyFill="1" applyBorder="1" applyAlignment="1">
      <alignment horizontal="center"/>
    </xf>
    <xf numFmtId="10" fontId="3" fillId="7" borderId="9" xfId="4" applyNumberFormat="1" applyFont="1" applyFill="1" applyBorder="1" applyAlignment="1">
      <alignment horizontal="center"/>
    </xf>
    <xf numFmtId="10" fontId="33" fillId="7" borderId="6" xfId="3" applyNumberFormat="1" applyFill="1" applyBorder="1" applyAlignment="1">
      <alignment horizontal="center"/>
    </xf>
    <xf numFmtId="3" fontId="33" fillId="8" borderId="4" xfId="3" applyNumberFormat="1" applyFill="1" applyBorder="1" applyAlignment="1">
      <alignment horizontal="center"/>
    </xf>
    <xf numFmtId="3" fontId="33" fillId="8" borderId="12" xfId="3" applyNumberFormat="1" applyFill="1" applyBorder="1" applyAlignment="1">
      <alignment horizontal="center"/>
    </xf>
    <xf numFmtId="3" fontId="33" fillId="8" borderId="8" xfId="3" applyNumberFormat="1" applyFill="1" applyBorder="1" applyAlignment="1">
      <alignment horizontal="center"/>
    </xf>
    <xf numFmtId="3" fontId="33" fillId="7" borderId="8" xfId="3" applyNumberFormat="1" applyFill="1" applyBorder="1" applyAlignment="1">
      <alignment horizontal="center"/>
    </xf>
    <xf numFmtId="10" fontId="33" fillId="7" borderId="9" xfId="3" applyNumberFormat="1" applyFill="1" applyBorder="1" applyAlignment="1">
      <alignment horizontal="center"/>
    </xf>
    <xf numFmtId="3" fontId="29" fillId="7" borderId="3" xfId="3" applyNumberFormat="1" applyFont="1" applyFill="1" applyBorder="1" applyAlignment="1">
      <alignment horizontal="center"/>
    </xf>
    <xf numFmtId="3" fontId="29" fillId="7" borderId="6" xfId="3" applyNumberFormat="1" applyFont="1" applyFill="1" applyBorder="1" applyAlignment="1">
      <alignment horizontal="center"/>
    </xf>
    <xf numFmtId="3" fontId="29" fillId="8" borderId="3" xfId="3" applyNumberFormat="1" applyFont="1" applyFill="1" applyBorder="1" applyAlignment="1">
      <alignment horizontal="center"/>
    </xf>
    <xf numFmtId="3" fontId="29" fillId="8" borderId="6" xfId="3" applyNumberFormat="1" applyFont="1" applyFill="1" applyBorder="1" applyAlignment="1">
      <alignment horizontal="center"/>
    </xf>
    <xf numFmtId="3" fontId="29" fillId="8" borderId="7" xfId="3" applyNumberFormat="1" applyFont="1" applyFill="1" applyBorder="1" applyAlignment="1">
      <alignment horizontal="center"/>
    </xf>
    <xf numFmtId="3" fontId="29" fillId="8" borderId="8" xfId="3" applyNumberFormat="1" applyFont="1" applyFill="1" applyBorder="1" applyAlignment="1">
      <alignment horizontal="center"/>
    </xf>
    <xf numFmtId="3" fontId="29" fillId="8" borderId="9" xfId="3" applyNumberFormat="1" applyFont="1" applyFill="1" applyBorder="1" applyAlignment="1">
      <alignment horizontal="center"/>
    </xf>
    <xf numFmtId="3" fontId="29" fillId="8" borderId="10" xfId="3" applyNumberFormat="1" applyFont="1" applyFill="1" applyBorder="1" applyAlignment="1">
      <alignment horizontal="center"/>
    </xf>
    <xf numFmtId="10" fontId="33" fillId="7" borderId="8" xfId="3" applyNumberFormat="1" applyFill="1" applyBorder="1" applyAlignment="1">
      <alignment horizontal="center"/>
    </xf>
    <xf numFmtId="10" fontId="33" fillId="7" borderId="3" xfId="3" applyNumberFormat="1" applyFill="1" applyBorder="1" applyAlignment="1">
      <alignment horizontal="center"/>
    </xf>
    <xf numFmtId="10" fontId="33" fillId="7" borderId="10" xfId="3" applyNumberFormat="1" applyFill="1" applyBorder="1" applyAlignment="1">
      <alignment horizontal="center"/>
    </xf>
    <xf numFmtId="10" fontId="33" fillId="7" borderId="7" xfId="3" applyNumberFormat="1" applyFill="1" applyBorder="1" applyAlignment="1">
      <alignment horizontal="center"/>
    </xf>
    <xf numFmtId="3" fontId="3" fillId="7" borderId="6" xfId="4" applyNumberFormat="1" applyFont="1" applyFill="1" applyBorder="1" applyAlignment="1">
      <alignment horizontal="center"/>
    </xf>
    <xf numFmtId="3" fontId="3" fillId="7" borderId="7" xfId="4" applyNumberFormat="1" applyFont="1" applyFill="1" applyBorder="1" applyAlignment="1">
      <alignment horizontal="center"/>
    </xf>
    <xf numFmtId="0" fontId="0" fillId="2" borderId="8" xfId="0" applyFill="1" applyBorder="1" applyAlignment="1"/>
    <xf numFmtId="0" fontId="14" fillId="6" borderId="8" xfId="4" applyFont="1" applyBorder="1" applyAlignment="1"/>
    <xf numFmtId="0" fontId="14" fillId="6" borderId="9" xfId="4" applyFont="1" applyBorder="1" applyAlignment="1"/>
    <xf numFmtId="0" fontId="14" fillId="6" borderId="10" xfId="4" applyFont="1" applyBorder="1" applyAlignment="1"/>
    <xf numFmtId="0" fontId="33" fillId="5" borderId="8" xfId="3" applyBorder="1" applyAlignment="1"/>
    <xf numFmtId="0" fontId="33" fillId="5" borderId="9" xfId="3" applyBorder="1" applyAlignment="1"/>
    <xf numFmtId="0" fontId="33" fillId="5" borderId="10" xfId="3" applyBorder="1" applyAlignment="1"/>
    <xf numFmtId="0" fontId="3" fillId="6" borderId="8" xfId="4" applyFont="1" applyBorder="1" applyAlignment="1"/>
    <xf numFmtId="0" fontId="8" fillId="6" borderId="9" xfId="4" applyFont="1" applyBorder="1" applyAlignment="1"/>
    <xf numFmtId="0" fontId="27" fillId="5" borderId="10" xfId="3" applyFont="1" applyBorder="1" applyAlignment="1"/>
    <xf numFmtId="0" fontId="0" fillId="8" borderId="1" xfId="0" applyFill="1" applyBorder="1" applyAlignment="1"/>
    <xf numFmtId="0" fontId="0" fillId="0" borderId="16" xfId="0" applyFill="1" applyBorder="1" applyAlignment="1"/>
    <xf numFmtId="10" fontId="0" fillId="0" borderId="24" xfId="0" applyNumberFormat="1" applyFill="1" applyBorder="1" applyAlignment="1"/>
    <xf numFmtId="0" fontId="0" fillId="0" borderId="17" xfId="0" applyFill="1" applyBorder="1" applyAlignment="1"/>
    <xf numFmtId="10" fontId="0" fillId="0" borderId="15" xfId="0" applyNumberFormat="1" applyFill="1" applyBorder="1" applyAlignment="1"/>
    <xf numFmtId="0" fontId="0" fillId="0" borderId="13" xfId="0" applyFill="1" applyBorder="1" applyAlignment="1"/>
    <xf numFmtId="10" fontId="0" fillId="0" borderId="2" xfId="0" applyNumberFormat="1" applyFill="1" applyBorder="1" applyAlignment="1"/>
    <xf numFmtId="0" fontId="0" fillId="0" borderId="18" xfId="0" applyFill="1" applyBorder="1" applyAlignment="1"/>
    <xf numFmtId="10" fontId="0" fillId="0" borderId="20" xfId="0" applyNumberFormat="1" applyFill="1" applyBorder="1" applyAlignment="1"/>
    <xf numFmtId="0" fontId="15" fillId="0" borderId="16" xfId="0" applyFont="1" applyFill="1" applyBorder="1" applyAlignment="1"/>
    <xf numFmtId="0" fontId="15" fillId="0" borderId="17" xfId="0" applyFont="1" applyFill="1" applyBorder="1" applyAlignment="1"/>
    <xf numFmtId="0" fontId="15" fillId="0" borderId="18" xfId="0" applyFont="1" applyFill="1" applyBorder="1" applyAlignment="1"/>
    <xf numFmtId="0" fontId="13" fillId="0" borderId="0" xfId="0" applyFont="1" applyFill="1" applyAlignment="1"/>
    <xf numFmtId="0" fontId="8" fillId="6" borderId="10" xfId="4" applyFont="1" applyBorder="1" applyAlignment="1"/>
    <xf numFmtId="0" fontId="33" fillId="8" borderId="3" xfId="3" applyFill="1" applyBorder="1" applyAlignment="1"/>
    <xf numFmtId="0" fontId="0" fillId="0" borderId="0" xfId="0" applyBorder="1" applyAlignment="1"/>
    <xf numFmtId="0" fontId="33" fillId="8" borderId="6" xfId="3" applyFill="1" applyBorder="1" applyAlignment="1"/>
    <xf numFmtId="0" fontId="3" fillId="8" borderId="7" xfId="3" applyFont="1" applyFill="1" applyBorder="1" applyAlignment="1"/>
    <xf numFmtId="0" fontId="13" fillId="0" borderId="0" xfId="0" applyFont="1" applyAlignment="1"/>
    <xf numFmtId="0" fontId="3" fillId="0" borderId="0" xfId="4" applyFont="1" applyFill="1" applyBorder="1" applyAlignment="1"/>
    <xf numFmtId="0" fontId="33" fillId="8" borderId="11" xfId="3" applyFill="1" applyBorder="1" applyAlignment="1"/>
    <xf numFmtId="10" fontId="0" fillId="0" borderId="0" xfId="0" applyNumberFormat="1" applyFill="1" applyBorder="1" applyAlignment="1">
      <alignment horizontal="center"/>
    </xf>
    <xf numFmtId="10" fontId="0" fillId="0" borderId="27" xfId="0" applyNumberFormat="1" applyFill="1" applyBorder="1" applyAlignment="1">
      <alignment horizontal="center"/>
    </xf>
    <xf numFmtId="10" fontId="0" fillId="0" borderId="28" xfId="0" applyNumberFormat="1" applyFill="1" applyBorder="1" applyAlignment="1">
      <alignment horizontal="center"/>
    </xf>
    <xf numFmtId="0" fontId="0" fillId="2" borderId="13" xfId="0" applyFill="1" applyBorder="1" applyAlignment="1"/>
    <xf numFmtId="0" fontId="14" fillId="7" borderId="8" xfId="4" applyFont="1" applyFill="1" applyBorder="1" applyAlignment="1"/>
    <xf numFmtId="0" fontId="14" fillId="7" borderId="9" xfId="4" applyFont="1" applyFill="1" applyBorder="1" applyAlignment="1"/>
    <xf numFmtId="0" fontId="14" fillId="7" borderId="10" xfId="4" applyFont="1" applyFill="1" applyBorder="1" applyAlignment="1"/>
    <xf numFmtId="0" fontId="33" fillId="8" borderId="8" xfId="3" applyFill="1" applyBorder="1" applyAlignment="1"/>
    <xf numFmtId="0" fontId="33" fillId="8" borderId="9" xfId="3" applyFill="1" applyBorder="1" applyAlignment="1"/>
    <xf numFmtId="0" fontId="33" fillId="8" borderId="10" xfId="3" applyFill="1" applyBorder="1" applyAlignment="1"/>
    <xf numFmtId="0" fontId="3" fillId="7" borderId="8" xfId="4" applyFont="1" applyFill="1" applyBorder="1" applyAlignment="1"/>
    <xf numFmtId="0" fontId="8" fillId="7" borderId="9" xfId="4" applyFont="1" applyFill="1" applyBorder="1" applyAlignment="1"/>
    <xf numFmtId="0" fontId="33" fillId="5" borderId="13" xfId="3" applyBorder="1" applyAlignment="1"/>
    <xf numFmtId="0" fontId="0" fillId="0" borderId="27" xfId="0" applyFill="1" applyBorder="1" applyAlignment="1"/>
    <xf numFmtId="10" fontId="0" fillId="0" borderId="28" xfId="0" applyNumberFormat="1" applyFill="1" applyBorder="1" applyAlignment="1"/>
    <xf numFmtId="3" fontId="3" fillId="7" borderId="0" xfId="4" applyNumberFormat="1" applyFont="1" applyFill="1" applyBorder="1" applyAlignment="1">
      <alignment horizontal="center"/>
    </xf>
    <xf numFmtId="10" fontId="3" fillId="7" borderId="10" xfId="4" applyNumberFormat="1" applyFont="1" applyFill="1" applyBorder="1" applyAlignment="1">
      <alignment horizontal="center"/>
    </xf>
    <xf numFmtId="10" fontId="3" fillId="7" borderId="7" xfId="4" applyNumberFormat="1" applyFont="1" applyFill="1" applyBorder="1" applyAlignment="1">
      <alignment horizontal="center"/>
    </xf>
    <xf numFmtId="10" fontId="3" fillId="7" borderId="22" xfId="4" applyNumberFormat="1" applyFont="1" applyFill="1" applyBorder="1" applyAlignment="1">
      <alignment horizontal="center"/>
    </xf>
    <xf numFmtId="3" fontId="3" fillId="7" borderId="5" xfId="4" applyNumberFormat="1" applyFont="1" applyFill="1" applyBorder="1" applyAlignment="1">
      <alignment horizontal="center"/>
    </xf>
    <xf numFmtId="3" fontId="33" fillId="7" borderId="12" xfId="3" applyNumberFormat="1" applyFill="1" applyBorder="1" applyAlignment="1">
      <alignment horizontal="center"/>
    </xf>
    <xf numFmtId="0" fontId="3" fillId="7" borderId="9" xfId="4" applyFont="1" applyFill="1" applyBorder="1" applyAlignment="1"/>
    <xf numFmtId="0" fontId="3" fillId="8" borderId="8" xfId="4" applyFont="1" applyFill="1" applyBorder="1" applyAlignment="1"/>
    <xf numFmtId="0" fontId="3" fillId="8" borderId="10" xfId="4" applyFont="1" applyFill="1" applyBorder="1" applyAlignment="1"/>
    <xf numFmtId="0" fontId="29" fillId="7" borderId="8" xfId="4" applyFont="1" applyFill="1" applyBorder="1" applyAlignment="1"/>
    <xf numFmtId="0" fontId="29" fillId="7" borderId="9" xfId="4" applyFont="1" applyFill="1" applyBorder="1" applyAlignment="1"/>
    <xf numFmtId="0" fontId="29" fillId="8" borderId="8" xfId="4" applyFont="1" applyFill="1" applyBorder="1" applyAlignment="1"/>
    <xf numFmtId="0" fontId="29" fillId="8" borderId="9" xfId="4" applyFont="1" applyFill="1" applyBorder="1" applyAlignment="1"/>
    <xf numFmtId="0" fontId="29" fillId="8" borderId="10" xfId="4" applyFont="1" applyFill="1" applyBorder="1" applyAlignment="1"/>
    <xf numFmtId="0" fontId="29" fillId="0" borderId="0" xfId="4" applyFont="1" applyFill="1" applyBorder="1" applyAlignment="1"/>
    <xf numFmtId="0" fontId="3" fillId="7" borderId="10" xfId="4" applyFont="1" applyFill="1" applyBorder="1" applyAlignment="1"/>
    <xf numFmtId="0" fontId="3" fillId="8" borderId="9" xfId="4" applyFont="1" applyFill="1" applyBorder="1" applyAlignment="1"/>
    <xf numFmtId="0" fontId="15" fillId="0" borderId="0" xfId="0" applyFont="1" applyBorder="1" applyAlignment="1"/>
    <xf numFmtId="3" fontId="15" fillId="0" borderId="0" xfId="0" applyNumberFormat="1" applyFont="1" applyBorder="1" applyAlignment="1"/>
    <xf numFmtId="3" fontId="0" fillId="0" borderId="0" xfId="0" applyNumberFormat="1" applyBorder="1" applyAlignment="1"/>
    <xf numFmtId="0" fontId="18" fillId="0" borderId="0" xfId="0" applyFont="1" applyFill="1" applyAlignment="1"/>
    <xf numFmtId="0" fontId="8" fillId="0" borderId="0" xfId="4" applyFont="1" applyFill="1" applyBorder="1" applyAlignment="1"/>
    <xf numFmtId="0" fontId="30" fillId="0" borderId="0" xfId="4" applyFont="1" applyFill="1" applyBorder="1" applyAlignment="1"/>
    <xf numFmtId="3" fontId="0" fillId="0" borderId="0" xfId="0" applyNumberFormat="1" applyFill="1"/>
    <xf numFmtId="3" fontId="0" fillId="0" borderId="0" xfId="0" applyNumberFormat="1" applyAlignment="1"/>
    <xf numFmtId="0" fontId="20" fillId="0" borderId="0" xfId="3" applyFont="1" applyFill="1" applyBorder="1" applyAlignment="1"/>
    <xf numFmtId="0" fontId="0" fillId="0" borderId="0" xfId="0" applyAlignment="1"/>
    <xf numFmtId="0" fontId="0" fillId="0" borderId="0" xfId="0" applyFill="1" applyAlignment="1"/>
    <xf numFmtId="0" fontId="16" fillId="0" borderId="0" xfId="0" applyFont="1" applyAlignment="1">
      <alignment horizontal="left" wrapText="1"/>
    </xf>
    <xf numFmtId="0" fontId="16" fillId="0" borderId="0" xfId="0" applyFont="1" applyAlignment="1"/>
    <xf numFmtId="0" fontId="0" fillId="0" borderId="0" xfId="0" applyAlignment="1">
      <alignment horizontal="left" wrapText="1"/>
    </xf>
    <xf numFmtId="10" fontId="0" fillId="0" borderId="0" xfId="0" applyNumberFormat="1" applyFill="1" applyBorder="1" applyAlignment="1">
      <alignment horizontal="center"/>
    </xf>
  </cellXfs>
  <cellStyles count="7">
    <cellStyle name="20% - Ênfase1" xfId="1" builtinId="30"/>
    <cellStyle name="40% - Ênfase1" xfId="2" builtinId="31" customBuiltin="1"/>
    <cellStyle name="60% - Ênfase1" xfId="3" builtinId="32" customBuiltin="1"/>
    <cellStyle name="Ênfase1" xfId="4" builtinId="29" customBuiltin="1"/>
    <cellStyle name="Hyperlink" xfId="5" builtinId="8"/>
    <cellStyle name="Normal" xfId="0" builtinId="0"/>
    <cellStyle name="Porcentagem" xfId="6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damodaran.com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PV@new%20WA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55"/>
  <sheetViews>
    <sheetView tabSelected="1" zoomScale="55" zoomScaleNormal="55" workbookViewId="0"/>
  </sheetViews>
  <sheetFormatPr defaultRowHeight="15"/>
  <cols>
    <col min="1" max="1" width="16.5703125" bestFit="1" customWidth="1"/>
    <col min="2" max="2" width="51.85546875" bestFit="1" customWidth="1"/>
    <col min="3" max="3" width="29.140625" customWidth="1"/>
    <col min="4" max="4" width="28.7109375" customWidth="1"/>
    <col min="5" max="5" width="36" customWidth="1"/>
    <col min="6" max="6" width="34.85546875" customWidth="1"/>
    <col min="7" max="7" width="27.5703125" customWidth="1"/>
    <col min="8" max="8" width="28.5703125" customWidth="1"/>
    <col min="9" max="9" width="25.85546875" customWidth="1"/>
    <col min="10" max="10" width="30.5703125" bestFit="1" customWidth="1"/>
    <col min="11" max="11" width="11.5703125" bestFit="1" customWidth="1"/>
    <col min="12" max="12" width="9.7109375" bestFit="1" customWidth="1"/>
  </cols>
  <sheetData>
    <row r="1" spans="1:18" ht="15.75" thickBot="1"/>
    <row r="2" spans="1:18" ht="21.75" thickBot="1">
      <c r="B2" s="28"/>
      <c r="C2" s="279" t="s">
        <v>17</v>
      </c>
      <c r="D2" s="280" t="s">
        <v>18</v>
      </c>
      <c r="E2" s="287" t="s">
        <v>19</v>
      </c>
      <c r="F2" s="27" t="s">
        <v>20</v>
      </c>
      <c r="G2" s="3" t="s">
        <v>21</v>
      </c>
      <c r="H2" s="27" t="s">
        <v>32</v>
      </c>
      <c r="I2" s="288" t="s">
        <v>22</v>
      </c>
      <c r="J2" s="27" t="s">
        <v>23</v>
      </c>
    </row>
    <row r="3" spans="1:18" ht="18.75">
      <c r="A3" s="132" t="s">
        <v>35</v>
      </c>
      <c r="B3" s="7" t="s">
        <v>0</v>
      </c>
      <c r="C3" s="37">
        <f>32611/G45</f>
        <v>38438.236680810936</v>
      </c>
      <c r="D3" s="49">
        <v>28132</v>
      </c>
      <c r="E3" s="85">
        <f>3906901/G42</f>
        <v>33258.7128628586</v>
      </c>
      <c r="F3" s="49">
        <f>3098374/G42</f>
        <v>26375.874691410572</v>
      </c>
      <c r="G3" s="85">
        <f>26301788/G44</f>
        <v>26041.374257425741</v>
      </c>
      <c r="H3" s="49">
        <v>14039</v>
      </c>
      <c r="I3" s="85">
        <f>10140/G46</f>
        <v>17443.660760364699</v>
      </c>
      <c r="J3" s="49">
        <v>9774.8799999999992</v>
      </c>
    </row>
    <row r="4" spans="1:18" ht="18.75">
      <c r="A4" s="133" t="s">
        <v>35</v>
      </c>
      <c r="B4" s="8" t="s">
        <v>1</v>
      </c>
      <c r="C4" s="38">
        <f>(5670-29)/G45</f>
        <v>6648.9863272041484</v>
      </c>
      <c r="D4" s="35">
        <v>5575</v>
      </c>
      <c r="E4" s="34">
        <f>759684/G42</f>
        <v>6467.046905592917</v>
      </c>
      <c r="F4" s="35">
        <f>F5+175057/G42</f>
        <v>5892.8066740444374</v>
      </c>
      <c r="G4" s="34">
        <f>G5+1612556/G44</f>
        <v>7619.6356435643565</v>
      </c>
      <c r="H4" s="35">
        <v>1740</v>
      </c>
      <c r="I4" s="34">
        <f>1030/G46</f>
        <v>1771.8905900567693</v>
      </c>
      <c r="J4" s="35">
        <f>J5+137.89</f>
        <v>2457.9899999999998</v>
      </c>
    </row>
    <row r="5" spans="1:18" ht="18.75">
      <c r="A5" s="133" t="s">
        <v>35</v>
      </c>
      <c r="B5" s="8" t="s">
        <v>2</v>
      </c>
      <c r="C5" s="38">
        <f>4376/G45</f>
        <v>5157.944365865158</v>
      </c>
      <c r="D5" s="35">
        <v>4746</v>
      </c>
      <c r="E5" s="34">
        <f>576319/G42</f>
        <v>4906.0951732357198</v>
      </c>
      <c r="F5" s="35">
        <f>517171/G42</f>
        <v>4402.5793819698647</v>
      </c>
      <c r="G5" s="34">
        <f>6083276/G44</f>
        <v>6023.0455445544558</v>
      </c>
      <c r="H5" s="35">
        <v>1439</v>
      </c>
      <c r="I5" s="34">
        <f>680/G46</f>
        <v>1169.7918458627214</v>
      </c>
      <c r="J5" s="35">
        <v>2320.1</v>
      </c>
    </row>
    <row r="6" spans="1:18" ht="19.5" thickBot="1">
      <c r="A6" s="133" t="s">
        <v>35</v>
      </c>
      <c r="B6" s="9" t="s">
        <v>74</v>
      </c>
      <c r="C6" s="42">
        <f>3846/G45</f>
        <v>4533.2390381895329</v>
      </c>
      <c r="D6" s="36">
        <v>3365</v>
      </c>
      <c r="E6" s="86">
        <f>343903/G42</f>
        <v>2927.5815101728099</v>
      </c>
      <c r="F6" s="36">
        <f>325996/G42</f>
        <v>2775.1425895973439</v>
      </c>
      <c r="G6" s="86">
        <f>4011546/G44</f>
        <v>3971.8277227722774</v>
      </c>
      <c r="H6" s="36">
        <v>910</v>
      </c>
      <c r="I6" s="86">
        <f>451/G46</f>
        <v>775.84723894718729</v>
      </c>
      <c r="J6" s="36">
        <v>1695.8</v>
      </c>
    </row>
    <row r="7" spans="1:18" ht="19.5" thickBot="1">
      <c r="A7" s="134" t="s">
        <v>35</v>
      </c>
      <c r="B7" s="8" t="s">
        <v>150</v>
      </c>
      <c r="C7" s="38">
        <f>C6+432/G45</f>
        <v>5042.4328147100423</v>
      </c>
      <c r="D7" s="35">
        <f>D6+520</f>
        <v>3885</v>
      </c>
      <c r="E7" s="34">
        <f>E6+15510/G42</f>
        <v>3059.6152209074658</v>
      </c>
      <c r="F7" s="35">
        <f>F6+3901/G42</f>
        <v>2808.3510683578784</v>
      </c>
      <c r="G7" s="34">
        <f>G6-5796/G44</f>
        <v>3966.0891089108914</v>
      </c>
      <c r="H7" s="35">
        <f>H6+37</f>
        <v>947</v>
      </c>
      <c r="I7" s="34">
        <f>I6+1/G46</f>
        <v>777.56752107345596</v>
      </c>
      <c r="J7" s="35">
        <f>J6+63.977</f>
        <v>1759.777</v>
      </c>
    </row>
    <row r="8" spans="1:18" ht="18.75">
      <c r="A8" s="135" t="s">
        <v>35</v>
      </c>
      <c r="B8" s="10" t="s">
        <v>4</v>
      </c>
      <c r="C8" s="87">
        <f>18283/G45</f>
        <v>21549.976426214049</v>
      </c>
      <c r="D8" s="147">
        <v>19058</v>
      </c>
      <c r="E8" s="87">
        <f>2760760/G42</f>
        <v>23501.830254533073</v>
      </c>
      <c r="F8" s="147">
        <f>2282330/G42</f>
        <v>19429.045713799267</v>
      </c>
      <c r="G8" s="87">
        <f>7640394/G44</f>
        <v>7564.7465346534655</v>
      </c>
      <c r="H8" s="147">
        <v>6466</v>
      </c>
      <c r="I8" s="87">
        <f>4564/G46</f>
        <v>7851.367624290383</v>
      </c>
      <c r="J8" s="147">
        <v>6936.7</v>
      </c>
    </row>
    <row r="9" spans="1:18" ht="18.75">
      <c r="A9" s="136" t="s">
        <v>35</v>
      </c>
      <c r="B9" s="45" t="s">
        <v>5</v>
      </c>
      <c r="C9" s="88">
        <f>C8-4645/G45</f>
        <v>16074.964639321075</v>
      </c>
      <c r="D9" s="148">
        <f>D8-2035-114</f>
        <v>16909</v>
      </c>
      <c r="E9" s="88">
        <f>E8-160175/G42</f>
        <v>22138.290627394228</v>
      </c>
      <c r="F9" s="148">
        <f>F8-32567/G42</f>
        <v>19151.808972503619</v>
      </c>
      <c r="G9" s="88">
        <f>G8-653364/G44</f>
        <v>6917.8514851485152</v>
      </c>
      <c r="H9" s="148">
        <f>H8-1474</f>
        <v>4992</v>
      </c>
      <c r="I9" s="88">
        <f>I8-871/G46</f>
        <v>6353.001892310338</v>
      </c>
      <c r="J9" s="148">
        <f>J8-1327.43-674.512-267.851</f>
        <v>4666.9070000000002</v>
      </c>
    </row>
    <row r="10" spans="1:18" ht="18.75">
      <c r="A10" s="136" t="s">
        <v>35</v>
      </c>
      <c r="B10" s="45" t="s">
        <v>6</v>
      </c>
      <c r="C10" s="88">
        <f>17633/G45</f>
        <v>20783.828382838281</v>
      </c>
      <c r="D10" s="148">
        <v>11984</v>
      </c>
      <c r="E10" s="88">
        <f>(1677889+104117)/G42</f>
        <v>15169.881671916233</v>
      </c>
      <c r="F10" s="148">
        <f>1347990/G42</f>
        <v>11475.185153656254</v>
      </c>
      <c r="G10" s="88">
        <f>19866916/G44</f>
        <v>19670.213861386139</v>
      </c>
      <c r="H10" s="148">
        <v>3356</v>
      </c>
      <c r="I10" s="88">
        <f>3378/G46</f>
        <v>5811.1130225356956</v>
      </c>
      <c r="J10" s="148">
        <v>8397</v>
      </c>
    </row>
    <row r="11" spans="1:18" ht="19.5" thickBot="1">
      <c r="A11" s="137" t="s">
        <v>35</v>
      </c>
      <c r="B11" s="46" t="s">
        <v>38</v>
      </c>
      <c r="C11" s="88">
        <f>C10+C8</f>
        <v>42333.80480905233</v>
      </c>
      <c r="D11" s="148">
        <f t="shared" ref="D11:J11" si="0">D10+D8</f>
        <v>31042</v>
      </c>
      <c r="E11" s="88">
        <f>E10+E8</f>
        <v>38671.711926449309</v>
      </c>
      <c r="F11" s="148">
        <f t="shared" si="0"/>
        <v>30904.230867455521</v>
      </c>
      <c r="G11" s="88">
        <f t="shared" si="0"/>
        <v>27234.960396039605</v>
      </c>
      <c r="H11" s="148">
        <f t="shared" si="0"/>
        <v>9822</v>
      </c>
      <c r="I11" s="88">
        <f t="shared" si="0"/>
        <v>13662.480646826079</v>
      </c>
      <c r="J11" s="148">
        <f t="shared" si="0"/>
        <v>15333.7</v>
      </c>
    </row>
    <row r="12" spans="1:18" ht="18.75">
      <c r="A12" s="132" t="s">
        <v>35</v>
      </c>
      <c r="B12" s="101" t="s">
        <v>149</v>
      </c>
      <c r="C12" s="102">
        <f>18196/G45</f>
        <v>21447.430457331448</v>
      </c>
      <c r="D12" s="58">
        <v>19330</v>
      </c>
      <c r="E12" s="102">
        <f>3038158/G42</f>
        <v>25863.267217161829</v>
      </c>
      <c r="F12" s="58">
        <f>2465475/G42</f>
        <v>20988.124627564484</v>
      </c>
      <c r="G12" s="102">
        <f>15866974/G44</f>
        <v>15709.875247524753</v>
      </c>
      <c r="H12" s="58">
        <v>4991</v>
      </c>
      <c r="I12" s="102">
        <f>4099/0.5813</f>
        <v>7051.4364355754342</v>
      </c>
      <c r="J12" s="58">
        <v>9342</v>
      </c>
    </row>
    <row r="13" spans="1:18" ht="18.75">
      <c r="A13" s="133" t="s">
        <v>35</v>
      </c>
      <c r="B13" s="104" t="s">
        <v>48</v>
      </c>
      <c r="C13" s="105">
        <f>C27*C23</f>
        <v>15798.285360678923</v>
      </c>
      <c r="D13" s="153">
        <f t="shared" ref="D13:J13" si="1">D27*D23</f>
        <v>18770.443279389998</v>
      </c>
      <c r="E13" s="105">
        <f t="shared" si="1"/>
        <v>24066.518430237509</v>
      </c>
      <c r="F13" s="153">
        <f t="shared" si="1"/>
        <v>19796.123265514601</v>
      </c>
      <c r="G13" s="105">
        <f t="shared" si="1"/>
        <v>15839.626999999999</v>
      </c>
      <c r="H13" s="153">
        <f t="shared" si="1"/>
        <v>5450.1765999999998</v>
      </c>
      <c r="I13" s="106" t="s">
        <v>25</v>
      </c>
      <c r="J13" s="153">
        <f t="shared" si="1"/>
        <v>9214.92</v>
      </c>
    </row>
    <row r="14" spans="1:18" ht="19.5" thickBot="1">
      <c r="A14" s="138" t="s">
        <v>35</v>
      </c>
      <c r="B14" s="108" t="s">
        <v>139</v>
      </c>
      <c r="C14" s="105">
        <f>((17720-4645)-(10000-1623))/G45</f>
        <v>5537.4823196605375</v>
      </c>
      <c r="D14" s="153">
        <f>(11712-2035-114)-(5615-334)</f>
        <v>4282</v>
      </c>
      <c r="E14" s="105">
        <f>((1504608-160175)-(1621372-398996))/G42</f>
        <v>1039.0482676428023</v>
      </c>
      <c r="F14" s="153">
        <f>((1164847-32567)-(1119979-14328))/G42</f>
        <v>226.68766493572826</v>
      </c>
      <c r="G14" s="105">
        <f>((11640336-653364)-(5881563-859774))/G44</f>
        <v>5906.1217821782175</v>
      </c>
      <c r="H14" s="153">
        <f>(4831-1479)-(2749-249)</f>
        <v>852</v>
      </c>
      <c r="I14" s="105">
        <f>((4446-871)-(2467-384))/G46</f>
        <v>2566.6609323929124</v>
      </c>
      <c r="J14" s="153">
        <f>(5991.753-1327.43-674.512-267.851)-(3161.518-992.612)</f>
        <v>1553.0539999999996</v>
      </c>
      <c r="L14" s="47"/>
      <c r="R14">
        <v>129</v>
      </c>
    </row>
    <row r="15" spans="1:18" ht="18.75">
      <c r="A15" s="135" t="s">
        <v>35</v>
      </c>
      <c r="B15" s="84" t="s">
        <v>49</v>
      </c>
      <c r="C15" s="39">
        <f>4439/G45</f>
        <v>5232.201791607732</v>
      </c>
      <c r="D15" s="147">
        <f>4703</f>
        <v>4703</v>
      </c>
      <c r="E15" s="87">
        <f>565607/G42</f>
        <v>4814.9059334298117</v>
      </c>
      <c r="F15" s="147">
        <f>509261/G42</f>
        <v>4335.2430407763686</v>
      </c>
      <c r="G15" s="87">
        <f>5488189/G44</f>
        <v>5433.8504950495053</v>
      </c>
      <c r="H15" s="147">
        <v>1312</v>
      </c>
      <c r="I15" s="87">
        <f>580/G46</f>
        <v>997.76363323585065</v>
      </c>
      <c r="J15" s="147">
        <v>2316.2359999999999</v>
      </c>
    </row>
    <row r="16" spans="1:18" ht="19.5" thickBot="1">
      <c r="A16" s="137"/>
      <c r="B16" s="12" t="s">
        <v>151</v>
      </c>
      <c r="C16" s="53">
        <f>(C15-C6+235/G45-432/G45)/C15</f>
        <v>8.9209281369677887E-2</v>
      </c>
      <c r="D16" s="198">
        <f>(D15-D6-155-520)/D15</f>
        <v>0.14097384648096958</v>
      </c>
      <c r="E16" s="110">
        <f>(E15-E6-15510/G42+17061/G42)/E15</f>
        <v>0.39471753355244898</v>
      </c>
      <c r="F16" s="198">
        <f>(F15-F6+428/G42-3901/G42)/F15</f>
        <v>0.35304490231924301</v>
      </c>
      <c r="G16" s="110">
        <f>(G15-G6+5796/G44+127839/G44)/G15</f>
        <v>0.29340789830670921</v>
      </c>
      <c r="H16" s="198">
        <f>(H15-H6-37)/H15</f>
        <v>0.27820121951219512</v>
      </c>
      <c r="I16" s="110">
        <f>(I15-I6+52/G46-1/G46)/I15</f>
        <v>0.31034482758620691</v>
      </c>
      <c r="J16" s="198">
        <f>(J15-J6+(50.505-7.756)-63.977-10.784)/J15</f>
        <v>0.25404319767070366</v>
      </c>
    </row>
    <row r="17" spans="1:12" ht="18.75">
      <c r="A17" s="139"/>
      <c r="B17" s="8" t="s">
        <v>7</v>
      </c>
      <c r="C17" s="52">
        <f>C4/C3</f>
        <v>0.1729784428567048</v>
      </c>
      <c r="D17" s="191">
        <f t="shared" ref="D17:J17" si="2">D4/D3</f>
        <v>0.19817289918953504</v>
      </c>
      <c r="E17" s="44">
        <f t="shared" si="2"/>
        <v>0.1944466982910496</v>
      </c>
      <c r="F17" s="191">
        <f t="shared" si="2"/>
        <v>0.22341654041765135</v>
      </c>
      <c r="G17" s="44">
        <f t="shared" si="2"/>
        <v>0.29259729414593411</v>
      </c>
      <c r="H17" s="191">
        <f t="shared" si="2"/>
        <v>0.12394045159911675</v>
      </c>
      <c r="I17" s="44">
        <f t="shared" si="2"/>
        <v>0.10157790927021697</v>
      </c>
      <c r="J17" s="191">
        <f t="shared" si="2"/>
        <v>0.25145986446892443</v>
      </c>
      <c r="L17" s="51"/>
    </row>
    <row r="18" spans="1:12" ht="18.75">
      <c r="A18" s="139"/>
      <c r="B18" s="8" t="s">
        <v>8</v>
      </c>
      <c r="C18" s="52">
        <f>C5/C3</f>
        <v>0.13418785072521544</v>
      </c>
      <c r="D18" s="191">
        <f>D5/D3</f>
        <v>0.16870467794682212</v>
      </c>
      <c r="E18" s="44">
        <f t="shared" ref="E18:J18" si="3">E5/E3</f>
        <v>0.1475130800601295</v>
      </c>
      <c r="F18" s="191">
        <f t="shared" si="3"/>
        <v>0.16691690544782523</v>
      </c>
      <c r="G18" s="44">
        <f t="shared" si="3"/>
        <v>0.23128754592653553</v>
      </c>
      <c r="H18" s="191">
        <f t="shared" si="3"/>
        <v>0.10250017807536149</v>
      </c>
      <c r="I18" s="44">
        <f t="shared" si="3"/>
        <v>6.7061143984220903E-2</v>
      </c>
      <c r="J18" s="191">
        <f t="shared" si="3"/>
        <v>0.23735329743178435</v>
      </c>
    </row>
    <row r="19" spans="1:12" ht="18.75">
      <c r="A19" s="139"/>
      <c r="B19" s="8" t="s">
        <v>9</v>
      </c>
      <c r="C19" s="90">
        <f t="shared" ref="C19:J19" si="4">C8/C4</f>
        <v>3.2410920049636589</v>
      </c>
      <c r="D19" s="281">
        <f t="shared" si="4"/>
        <v>3.4184753363228699</v>
      </c>
      <c r="E19" s="91">
        <f t="shared" si="4"/>
        <v>3.6340899637217583</v>
      </c>
      <c r="F19" s="281">
        <f t="shared" si="4"/>
        <v>3.2970784192491487</v>
      </c>
      <c r="G19" s="91">
        <f t="shared" si="4"/>
        <v>0.99279636041951025</v>
      </c>
      <c r="H19" s="281">
        <f t="shared" si="4"/>
        <v>3.7160919540229886</v>
      </c>
      <c r="I19" s="91">
        <f t="shared" si="4"/>
        <v>4.4310679611650485</v>
      </c>
      <c r="J19" s="281">
        <f t="shared" si="4"/>
        <v>2.8221026122970398</v>
      </c>
    </row>
    <row r="20" spans="1:12" ht="18.75">
      <c r="A20" s="140"/>
      <c r="B20" s="8" t="s">
        <v>10</v>
      </c>
      <c r="C20" s="90">
        <f t="shared" ref="C20:J20" si="5">C9/C4</f>
        <v>2.4176564438929269</v>
      </c>
      <c r="D20" s="281">
        <f t="shared" si="5"/>
        <v>3.0330044843049326</v>
      </c>
      <c r="E20" s="91">
        <f t="shared" si="5"/>
        <v>3.4232457179564135</v>
      </c>
      <c r="F20" s="281">
        <f t="shared" si="5"/>
        <v>3.2500317814361739</v>
      </c>
      <c r="G20" s="91">
        <f t="shared" si="5"/>
        <v>0.9078979374809637</v>
      </c>
      <c r="H20" s="281">
        <f t="shared" si="5"/>
        <v>2.8689655172413793</v>
      </c>
      <c r="I20" s="91">
        <f t="shared" si="5"/>
        <v>3.5854368932038829</v>
      </c>
      <c r="J20" s="281">
        <f t="shared" si="5"/>
        <v>1.8986680173637811</v>
      </c>
    </row>
    <row r="21" spans="1:12" ht="18.75">
      <c r="A21" s="140"/>
      <c r="B21" s="8" t="s">
        <v>11</v>
      </c>
      <c r="C21" s="52">
        <f t="shared" ref="C21:J21" si="6">C8/C10</f>
        <v>1.0368627006181592</v>
      </c>
      <c r="D21" s="191">
        <f t="shared" si="6"/>
        <v>1.590287049399199</v>
      </c>
      <c r="E21" s="44">
        <f t="shared" si="6"/>
        <v>1.5492428196089127</v>
      </c>
      <c r="F21" s="191">
        <f t="shared" si="6"/>
        <v>1.6931357057544936</v>
      </c>
      <c r="G21" s="44">
        <f t="shared" si="6"/>
        <v>0.38457876401148522</v>
      </c>
      <c r="H21" s="191">
        <f t="shared" si="6"/>
        <v>1.9266984505363527</v>
      </c>
      <c r="I21" s="44">
        <f t="shared" si="6"/>
        <v>1.3510953226761397</v>
      </c>
      <c r="J21" s="191">
        <f t="shared" si="6"/>
        <v>0.82609265213766825</v>
      </c>
    </row>
    <row r="22" spans="1:12" ht="19.5" thickBot="1">
      <c r="A22" s="140"/>
      <c r="B22" s="8" t="s">
        <v>140</v>
      </c>
      <c r="C22" s="52">
        <f>C8/(C10+C8)</f>
        <v>0.50904889185878166</v>
      </c>
      <c r="D22" s="191">
        <f t="shared" ref="D22:J22" si="7">D8/(D10+D8)</f>
        <v>0.6139424006185169</v>
      </c>
      <c r="E22" s="44">
        <f t="shared" si="7"/>
        <v>0.60772665816377069</v>
      </c>
      <c r="F22" s="191">
        <f t="shared" si="7"/>
        <v>0.62868562550959695</v>
      </c>
      <c r="G22" s="44">
        <f t="shared" si="7"/>
        <v>0.27775867578472774</v>
      </c>
      <c r="H22" s="191">
        <f t="shared" si="7"/>
        <v>0.65831806149460392</v>
      </c>
      <c r="I22" s="44">
        <f t="shared" si="7"/>
        <v>0.57466633089901786</v>
      </c>
      <c r="J22" s="191">
        <f t="shared" si="7"/>
        <v>0.4523826604146422</v>
      </c>
    </row>
    <row r="23" spans="1:12" ht="19.5" thickBot="1">
      <c r="A23" s="141" t="s">
        <v>34</v>
      </c>
      <c r="B23" s="10" t="s">
        <v>47</v>
      </c>
      <c r="C23" s="92">
        <v>639.774</v>
      </c>
      <c r="D23" s="282">
        <v>712.89188300000001</v>
      </c>
      <c r="E23" s="93">
        <v>6731.1760000000004</v>
      </c>
      <c r="F23" s="282">
        <v>587.23500000000001</v>
      </c>
      <c r="G23" s="93">
        <v>79.198134999999994</v>
      </c>
      <c r="H23" s="282">
        <v>113.38</v>
      </c>
      <c r="I23" s="87" t="s">
        <v>25</v>
      </c>
      <c r="J23" s="282">
        <v>930.8</v>
      </c>
    </row>
    <row r="24" spans="1:12" ht="18.75">
      <c r="A24" s="132" t="s">
        <v>24</v>
      </c>
      <c r="B24" s="101" t="s">
        <v>12</v>
      </c>
      <c r="C24" s="113">
        <f t="shared" ref="C24:H24" si="8">C6/C23</f>
        <v>7.085688130792331</v>
      </c>
      <c r="D24" s="283">
        <f t="shared" si="8"/>
        <v>4.720210848578283</v>
      </c>
      <c r="E24" s="114">
        <f t="shared" si="8"/>
        <v>0.43492868262140372</v>
      </c>
      <c r="F24" s="283">
        <f t="shared" si="8"/>
        <v>4.7257785888057491</v>
      </c>
      <c r="G24" s="114">
        <f t="shared" si="8"/>
        <v>50.150520877445885</v>
      </c>
      <c r="H24" s="283">
        <f t="shared" si="8"/>
        <v>8.0261068971599929</v>
      </c>
      <c r="I24" s="114" t="s">
        <v>25</v>
      </c>
      <c r="J24" s="283">
        <f>J6/J23</f>
        <v>1.8218736570691878</v>
      </c>
    </row>
    <row r="25" spans="1:12" ht="18.75">
      <c r="A25" s="133" t="s">
        <v>24</v>
      </c>
      <c r="B25" s="104" t="s">
        <v>31</v>
      </c>
      <c r="C25" s="115">
        <f>1.2/G45</f>
        <v>1.4144271570014142</v>
      </c>
      <c r="D25" s="284">
        <v>0.4</v>
      </c>
      <c r="E25" s="116">
        <v>0.08</v>
      </c>
      <c r="F25" s="284">
        <v>0.88</v>
      </c>
      <c r="G25" s="116">
        <f>2000/G44</f>
        <v>1.9801980198019802</v>
      </c>
      <c r="H25" s="284">
        <v>0.4</v>
      </c>
      <c r="I25" s="116">
        <f>0.05/G46</f>
        <v>8.6014106313435396E-2</v>
      </c>
      <c r="J25" s="284">
        <v>0.36799999999999999</v>
      </c>
    </row>
    <row r="26" spans="1:12" ht="18.75">
      <c r="A26" s="133" t="s">
        <v>24</v>
      </c>
      <c r="B26" s="104" t="s">
        <v>13</v>
      </c>
      <c r="C26" s="115">
        <f t="shared" ref="C26:H26" si="9">C4/C23</f>
        <v>10.392711062350374</v>
      </c>
      <c r="D26" s="284">
        <f t="shared" si="9"/>
        <v>7.8202601726074077</v>
      </c>
      <c r="E26" s="116">
        <f t="shared" si="9"/>
        <v>0.96076033453781573</v>
      </c>
      <c r="F26" s="284">
        <f t="shared" si="9"/>
        <v>10.034835583785771</v>
      </c>
      <c r="G26" s="116">
        <f t="shared" si="9"/>
        <v>96.209786298179338</v>
      </c>
      <c r="H26" s="284">
        <f t="shared" si="9"/>
        <v>15.346621979185041</v>
      </c>
      <c r="I26" s="116" t="s">
        <v>64</v>
      </c>
      <c r="J26" s="284">
        <f>J4/J23</f>
        <v>2.6407284056725397</v>
      </c>
    </row>
    <row r="27" spans="1:12" ht="19.5" thickBot="1">
      <c r="A27" s="138"/>
      <c r="B27" s="108" t="s">
        <v>14</v>
      </c>
      <c r="C27" s="117">
        <f>20.95/G45</f>
        <v>24.693540782649691</v>
      </c>
      <c r="D27" s="285">
        <v>26.33</v>
      </c>
      <c r="E27" s="118">
        <f>420/G42</f>
        <v>3.5753809483272323</v>
      </c>
      <c r="F27" s="285">
        <f>3960/G42</f>
        <v>33.710734655656765</v>
      </c>
      <c r="G27" s="118">
        <f>202000/G44</f>
        <v>200</v>
      </c>
      <c r="H27" s="285">
        <v>48.07</v>
      </c>
      <c r="I27" s="118">
        <v>5.07</v>
      </c>
      <c r="J27" s="285">
        <v>9.9</v>
      </c>
    </row>
    <row r="28" spans="1:12" ht="18.75">
      <c r="A28" s="33"/>
      <c r="B28" s="119" t="s">
        <v>15</v>
      </c>
      <c r="C28" s="120">
        <f>C27/C24</f>
        <v>3.4849883775351014</v>
      </c>
      <c r="D28" s="176">
        <f t="shared" ref="D28:J28" si="10">D27/D24</f>
        <v>5.5781406476641902</v>
      </c>
      <c r="E28" s="121">
        <f>E27/E24</f>
        <v>8.2206143011256092</v>
      </c>
      <c r="F28" s="176">
        <f t="shared" si="10"/>
        <v>7.1333715751113509</v>
      </c>
      <c r="G28" s="121">
        <f t="shared" si="10"/>
        <v>3.9879944714581357</v>
      </c>
      <c r="H28" s="176">
        <f t="shared" si="10"/>
        <v>5.9892050549450548</v>
      </c>
      <c r="I28" s="121" t="s">
        <v>25</v>
      </c>
      <c r="J28" s="176">
        <f t="shared" si="10"/>
        <v>5.4339662696072653</v>
      </c>
      <c r="K28" s="13"/>
    </row>
    <row r="29" spans="1:12" ht="19.5" thickBot="1">
      <c r="B29" s="119" t="s">
        <v>16</v>
      </c>
      <c r="C29" s="120">
        <f>C27/C26</f>
        <v>2.3760441942917923</v>
      </c>
      <c r="D29" s="176">
        <f t="shared" ref="D29:J29" si="11">D27/D26</f>
        <v>3.3668956554959641</v>
      </c>
      <c r="E29" s="121">
        <f t="shared" si="11"/>
        <v>3.7214077432195496</v>
      </c>
      <c r="F29" s="176">
        <f t="shared" si="11"/>
        <v>3.3593709009170389</v>
      </c>
      <c r="G29" s="121">
        <f t="shared" si="11"/>
        <v>2.0787906063957733</v>
      </c>
      <c r="H29" s="176">
        <f t="shared" si="11"/>
        <v>3.1322854022988507</v>
      </c>
      <c r="I29" s="121" t="s">
        <v>25</v>
      </c>
      <c r="J29" s="176">
        <f t="shared" si="11"/>
        <v>3.7489656182490574</v>
      </c>
    </row>
    <row r="30" spans="1:12" ht="18.75">
      <c r="B30" s="101" t="s">
        <v>28</v>
      </c>
      <c r="C30" s="129">
        <f t="shared" ref="C30:J30" si="12">C5*(1-C16)/(C12+C14)</f>
        <v>0.17409016269443039</v>
      </c>
      <c r="D30" s="126">
        <f t="shared" si="12"/>
        <v>0.17266382028635094</v>
      </c>
      <c r="E30" s="129">
        <f t="shared" si="12"/>
        <v>0.11038356117561184</v>
      </c>
      <c r="F30" s="126">
        <f t="shared" si="12"/>
        <v>0.13425860831757211</v>
      </c>
      <c r="G30" s="129">
        <f t="shared" si="12"/>
        <v>0.19688365075518444</v>
      </c>
      <c r="H30" s="126">
        <f t="shared" si="12"/>
        <v>0.17776286926612206</v>
      </c>
      <c r="I30" s="129">
        <f t="shared" si="12"/>
        <v>8.3878647333460801E-2</v>
      </c>
      <c r="J30" s="126">
        <f t="shared" si="12"/>
        <v>0.15885138128587528</v>
      </c>
    </row>
    <row r="31" spans="1:12" ht="18.75">
      <c r="B31" s="104" t="s">
        <v>29</v>
      </c>
      <c r="C31" s="127">
        <f t="shared" ref="C31:J31" si="13">C5/(C8+C10)</f>
        <v>0.12183984853547167</v>
      </c>
      <c r="D31" s="161">
        <f t="shared" si="13"/>
        <v>0.1528896333999098</v>
      </c>
      <c r="E31" s="127">
        <f t="shared" si="13"/>
        <v>0.12686521823928418</v>
      </c>
      <c r="F31" s="161">
        <f t="shared" si="13"/>
        <v>0.1424587915114921</v>
      </c>
      <c r="G31" s="127">
        <f t="shared" si="13"/>
        <v>0.22115125034036406</v>
      </c>
      <c r="H31" s="161">
        <f t="shared" si="13"/>
        <v>0.14650783954388108</v>
      </c>
      <c r="I31" s="127">
        <f t="shared" si="13"/>
        <v>8.5620750440695031E-2</v>
      </c>
      <c r="J31" s="161">
        <f t="shared" si="13"/>
        <v>0.15130725134833731</v>
      </c>
    </row>
    <row r="32" spans="1:12" ht="19.5" thickBot="1">
      <c r="B32" s="108" t="s">
        <v>30</v>
      </c>
      <c r="C32" s="128">
        <f t="shared" ref="C32:H32" si="14">(C23*C27+C9)/C4</f>
        <v>4.7937006381847196</v>
      </c>
      <c r="D32" s="286">
        <f t="shared" si="14"/>
        <v>6.3999001398008968</v>
      </c>
      <c r="E32" s="128">
        <f t="shared" si="14"/>
        <v>7.1446534611759622</v>
      </c>
      <c r="F32" s="286">
        <f t="shared" si="14"/>
        <v>6.6094026823532133</v>
      </c>
      <c r="G32" s="128">
        <f t="shared" si="14"/>
        <v>2.986688543876737</v>
      </c>
      <c r="H32" s="286">
        <f t="shared" si="14"/>
        <v>6.0012509195402295</v>
      </c>
      <c r="I32" s="128" t="s">
        <v>25</v>
      </c>
      <c r="J32" s="286">
        <f>(J23*J27+J9)/J4</f>
        <v>5.6476336356128387</v>
      </c>
    </row>
    <row r="33" spans="2:10" ht="18.75">
      <c r="B33" s="14"/>
      <c r="C33" s="32"/>
      <c r="D33" s="31"/>
      <c r="E33" s="15"/>
      <c r="F33" s="15"/>
      <c r="G33" s="31"/>
      <c r="H33" s="15"/>
      <c r="I33" s="15"/>
      <c r="J33" s="15"/>
    </row>
    <row r="34" spans="2:10" ht="18.75">
      <c r="B34" s="143" t="s">
        <v>138</v>
      </c>
      <c r="C34" s="31"/>
      <c r="D34" s="31"/>
      <c r="E34" s="15"/>
      <c r="F34" s="15"/>
      <c r="H34" s="15"/>
      <c r="I34" s="31"/>
      <c r="J34" s="15"/>
    </row>
    <row r="35" spans="2:10" ht="18.75">
      <c r="B35" s="16"/>
      <c r="C35" s="31"/>
      <c r="D35" s="31"/>
      <c r="E35" s="15"/>
      <c r="F35" s="15"/>
      <c r="H35" s="15"/>
      <c r="I35" s="31"/>
      <c r="J35" s="15"/>
    </row>
    <row r="36" spans="2:10" ht="18.75">
      <c r="B36" s="418" t="s">
        <v>143</v>
      </c>
      <c r="C36" s="419"/>
      <c r="D36" s="419"/>
      <c r="E36" s="15"/>
      <c r="H36" s="15"/>
      <c r="I36" s="31"/>
      <c r="J36" s="15"/>
    </row>
    <row r="37" spans="2:10" ht="18.75">
      <c r="B37" s="418" t="s">
        <v>141</v>
      </c>
      <c r="C37" s="419"/>
      <c r="D37" s="15"/>
      <c r="E37" s="15"/>
      <c r="F37" s="31"/>
      <c r="H37" s="15"/>
      <c r="I37" s="31"/>
      <c r="J37" s="15"/>
    </row>
    <row r="38" spans="2:10">
      <c r="B38" s="419" t="s">
        <v>142</v>
      </c>
      <c r="C38" s="419"/>
    </row>
    <row r="39" spans="2:10">
      <c r="C39" s="13"/>
    </row>
    <row r="41" spans="2:10" ht="19.5" thickBot="1">
      <c r="B41" s="144" t="s">
        <v>147</v>
      </c>
    </row>
    <row r="42" spans="2:10">
      <c r="B42" t="s">
        <v>146</v>
      </c>
      <c r="F42" s="184" t="s">
        <v>50</v>
      </c>
      <c r="G42" s="177">
        <v>117.47</v>
      </c>
      <c r="H42" s="178">
        <v>38807</v>
      </c>
    </row>
    <row r="43" spans="2:10">
      <c r="B43" s="1" t="s">
        <v>26</v>
      </c>
      <c r="F43" s="185" t="s">
        <v>50</v>
      </c>
      <c r="G43" s="179">
        <v>117.87</v>
      </c>
      <c r="H43" s="180">
        <v>38717</v>
      </c>
    </row>
    <row r="44" spans="2:10">
      <c r="B44" s="1" t="s">
        <v>27</v>
      </c>
      <c r="F44" s="185" t="s">
        <v>51</v>
      </c>
      <c r="G44" s="179">
        <v>1010</v>
      </c>
      <c r="H44" s="180">
        <v>38717</v>
      </c>
    </row>
    <row r="45" spans="2:10">
      <c r="B45" s="1" t="s">
        <v>36</v>
      </c>
      <c r="F45" s="185" t="s">
        <v>52</v>
      </c>
      <c r="G45" s="181">
        <v>0.84840000000000004</v>
      </c>
      <c r="H45" s="180">
        <v>38717</v>
      </c>
    </row>
    <row r="46" spans="2:10" ht="15.75" thickBot="1">
      <c r="B46" s="1" t="s">
        <v>37</v>
      </c>
      <c r="F46" s="186" t="s">
        <v>53</v>
      </c>
      <c r="G46" s="182">
        <v>0.58130000000000004</v>
      </c>
      <c r="H46" s="183">
        <v>38717</v>
      </c>
    </row>
    <row r="47" spans="2:10">
      <c r="B47" s="1" t="s">
        <v>63</v>
      </c>
    </row>
    <row r="48" spans="2:10">
      <c r="B48" s="1"/>
      <c r="C48" s="1"/>
    </row>
    <row r="49" spans="2:3">
      <c r="B49" s="1"/>
      <c r="C49" s="1"/>
    </row>
    <row r="50" spans="2:3">
      <c r="B50" s="1"/>
      <c r="C50" s="1"/>
    </row>
    <row r="52" spans="2:3" ht="18.75">
      <c r="B52" s="144" t="s">
        <v>145</v>
      </c>
    </row>
    <row r="54" spans="2:3">
      <c r="B54" t="s">
        <v>144</v>
      </c>
    </row>
    <row r="55" spans="2:3">
      <c r="B55" t="s">
        <v>148</v>
      </c>
    </row>
  </sheetData>
  <mergeCells count="3">
    <mergeCell ref="B36:D36"/>
    <mergeCell ref="B37:C37"/>
    <mergeCell ref="B38:C38"/>
  </mergeCells>
  <phoneticPr fontId="7" type="noConversion"/>
  <pageMargins left="0.511811024" right="0.511811024" top="0.78740157499999996" bottom="0.78740157499999996" header="0.31496062000000002" footer="0.31496062000000002"/>
  <pageSetup paperSize="9" scale="36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6"/>
  <sheetViews>
    <sheetView zoomScale="70" zoomScaleNormal="70" workbookViewId="0"/>
  </sheetViews>
  <sheetFormatPr defaultRowHeight="15"/>
  <cols>
    <col min="1" max="1" width="16.5703125" bestFit="1" customWidth="1"/>
    <col min="2" max="2" width="54" bestFit="1" customWidth="1"/>
    <col min="3" max="5" width="38.5703125" bestFit="1" customWidth="1"/>
    <col min="6" max="6" width="11.5703125" bestFit="1" customWidth="1"/>
  </cols>
  <sheetData>
    <row r="1" spans="1:5" ht="15.75" thickBot="1"/>
    <row r="2" spans="1:5" ht="21.75" thickBot="1">
      <c r="B2" s="4"/>
      <c r="C2" s="29" t="s">
        <v>43</v>
      </c>
      <c r="D2" s="29" t="s">
        <v>44</v>
      </c>
      <c r="E2" s="30" t="s">
        <v>17</v>
      </c>
    </row>
    <row r="3" spans="1:5" ht="18.75">
      <c r="A3" s="132" t="s">
        <v>35</v>
      </c>
      <c r="B3" s="18" t="s">
        <v>0</v>
      </c>
      <c r="C3" s="37">
        <f>25923/C65</f>
        <v>30555.162659123052</v>
      </c>
      <c r="D3" s="37">
        <f>30176/C65</f>
        <v>35568.128241395563</v>
      </c>
      <c r="E3" s="17">
        <f>'Finacial Data'!C3</f>
        <v>38438.236680810936</v>
      </c>
    </row>
    <row r="4" spans="1:5" ht="18.75">
      <c r="A4" s="133" t="s">
        <v>35</v>
      </c>
      <c r="B4" s="19" t="s">
        <v>1</v>
      </c>
      <c r="C4" s="38">
        <f>(2339-111)/C65</f>
        <v>2626.1197548326259</v>
      </c>
      <c r="D4" s="38">
        <f>(4539-78)/C65</f>
        <v>5258.1329561527582</v>
      </c>
      <c r="E4" s="23">
        <f>'Finacial Data'!C4</f>
        <v>6648.9863272041484</v>
      </c>
    </row>
    <row r="5" spans="1:5" ht="18.75">
      <c r="A5" s="133" t="s">
        <v>35</v>
      </c>
      <c r="B5" s="19" t="s">
        <v>2</v>
      </c>
      <c r="C5" s="38">
        <f>738/C65</f>
        <v>869.87270155586987</v>
      </c>
      <c r="D5" s="38">
        <f>3314/C65</f>
        <v>3906.1763319189058</v>
      </c>
      <c r="E5" s="23">
        <f>'Finacial Data'!C5</f>
        <v>5157.944365865158</v>
      </c>
    </row>
    <row r="6" spans="1:5" ht="19.5" thickBot="1">
      <c r="A6" s="133" t="s">
        <v>35</v>
      </c>
      <c r="B6" s="19" t="s">
        <v>3</v>
      </c>
      <c r="C6" s="38">
        <f>257/C65</f>
        <v>302.92314945780294</v>
      </c>
      <c r="D6" s="38">
        <f>2290/C65</f>
        <v>2699.1984912776988</v>
      </c>
      <c r="E6" s="23">
        <f>'Finacial Data'!C6</f>
        <v>4533.2390381895329</v>
      </c>
    </row>
    <row r="7" spans="1:5" ht="19.5" thickBot="1">
      <c r="A7" s="134" t="s">
        <v>35</v>
      </c>
      <c r="B7" s="7" t="s">
        <v>150</v>
      </c>
      <c r="C7" s="37">
        <f>C6+159/C65</f>
        <v>490.33474776049036</v>
      </c>
      <c r="D7" s="37">
        <f>D6+403/C65</f>
        <v>3174.210278170674</v>
      </c>
      <c r="E7" s="17">
        <f>E6+432/C65</f>
        <v>5042.4328147100423</v>
      </c>
    </row>
    <row r="8" spans="1:5" ht="18.75">
      <c r="A8" s="135" t="s">
        <v>35</v>
      </c>
      <c r="B8" s="10" t="s">
        <v>4</v>
      </c>
      <c r="C8" s="87">
        <f>17875/C65</f>
        <v>21069.07119283357</v>
      </c>
      <c r="D8" s="147">
        <f>18283/C65</f>
        <v>21549.976426214049</v>
      </c>
      <c r="E8" s="5">
        <f>'Finacial Data'!C8</f>
        <v>21549.976426214049</v>
      </c>
    </row>
    <row r="9" spans="1:5" ht="18.75">
      <c r="A9" s="136" t="s">
        <v>35</v>
      </c>
      <c r="B9" s="11" t="s">
        <v>5</v>
      </c>
      <c r="C9" s="88">
        <f>C8-1890/C65</f>
        <v>18841.348420556344</v>
      </c>
      <c r="D9" s="148">
        <f>D8-4043/C65</f>
        <v>16784.535596416783</v>
      </c>
      <c r="E9" s="6">
        <f>'Finacial Data'!C9</f>
        <v>16074.964639321075</v>
      </c>
    </row>
    <row r="10" spans="1:5" ht="18.75">
      <c r="A10" s="136" t="s">
        <v>35</v>
      </c>
      <c r="B10" s="11" t="s">
        <v>6</v>
      </c>
      <c r="C10" s="88">
        <f>6733/C65</f>
        <v>7936.1150400754359</v>
      </c>
      <c r="D10" s="148">
        <f>12227/C65</f>
        <v>14411.834040546912</v>
      </c>
      <c r="E10" s="6">
        <f>'Finacial Data'!C10</f>
        <v>20783.828382838281</v>
      </c>
    </row>
    <row r="11" spans="1:5" ht="19.5" thickBot="1">
      <c r="A11" s="137" t="s">
        <v>35</v>
      </c>
      <c r="B11" s="12" t="s">
        <v>38</v>
      </c>
      <c r="C11" s="88">
        <f>C8+C10</f>
        <v>29005.186232909007</v>
      </c>
      <c r="D11" s="148">
        <f>D8+D10</f>
        <v>35961.810466760959</v>
      </c>
      <c r="E11" s="89">
        <f>E8+E10</f>
        <v>42333.80480905233</v>
      </c>
    </row>
    <row r="12" spans="1:5" ht="18.75">
      <c r="A12" s="132" t="s">
        <v>35</v>
      </c>
      <c r="B12" s="56" t="s">
        <v>149</v>
      </c>
      <c r="C12" s="57">
        <f>12590/C65</f>
        <v>14839.698255539839</v>
      </c>
      <c r="D12" s="58">
        <f>15265/C65</f>
        <v>17992.69212635549</v>
      </c>
      <c r="E12" s="103">
        <f>'Finacial Data'!C12</f>
        <v>21447.430457331448</v>
      </c>
    </row>
    <row r="13" spans="1:5" ht="18.75">
      <c r="A13" s="133" t="s">
        <v>35</v>
      </c>
      <c r="B13" s="59" t="s">
        <v>48</v>
      </c>
      <c r="C13" s="151">
        <f>C20*C21</f>
        <v>9141.6531500000001</v>
      </c>
      <c r="D13" s="153">
        <f>D20*D21</f>
        <v>14650.8246</v>
      </c>
      <c r="E13" s="107">
        <f>E20*E21</f>
        <v>15642.4743</v>
      </c>
    </row>
    <row r="14" spans="1:5" ht="19.5" thickBot="1">
      <c r="A14" s="138" t="s">
        <v>35</v>
      </c>
      <c r="B14" s="60" t="s">
        <v>139</v>
      </c>
      <c r="C14" s="152">
        <f>((12018-1024)-(8388-4348))/C65</f>
        <v>8196.6053748231971</v>
      </c>
      <c r="D14" s="154">
        <f>((15973-2298)-(10387-2293))/C65</f>
        <v>6578.2649693540779</v>
      </c>
      <c r="E14" s="109">
        <f>'Finacial Data'!C14</f>
        <v>5537.4823196605375</v>
      </c>
    </row>
    <row r="15" spans="1:5" ht="18.75">
      <c r="A15" s="135" t="s">
        <v>35</v>
      </c>
      <c r="B15" s="157" t="s">
        <v>42</v>
      </c>
      <c r="C15" s="158">
        <f>C12+C14</f>
        <v>23036.303630363036</v>
      </c>
      <c r="D15" s="158">
        <f>D12+D14</f>
        <v>24570.957095709568</v>
      </c>
      <c r="E15" s="158">
        <f>E12+E14</f>
        <v>26984.912776991987</v>
      </c>
    </row>
    <row r="16" spans="1:5" ht="19.5" thickBot="1">
      <c r="A16" s="131"/>
      <c r="B16" s="122" t="s">
        <v>41</v>
      </c>
      <c r="C16" s="159">
        <f>'WACC calculation'!C14</f>
        <v>7.5223258022454706E-2</v>
      </c>
      <c r="D16" s="159">
        <f>'WACC calculation'!D14</f>
        <v>8.1793168986760284E-2</v>
      </c>
      <c r="E16" s="165">
        <f>'WACC calculation'!E14</f>
        <v>9.1687096487666389E-2</v>
      </c>
    </row>
    <row r="17" spans="1:11" ht="18.75">
      <c r="B17" s="104" t="s">
        <v>49</v>
      </c>
      <c r="C17" s="105">
        <f>557/C65</f>
        <v>656.52993870815646</v>
      </c>
      <c r="D17" s="153">
        <f>3206/C65</f>
        <v>3778.8778877887785</v>
      </c>
      <c r="E17" s="153">
        <f>'Finacial Data'!C15</f>
        <v>5232.201791607732</v>
      </c>
    </row>
    <row r="18" spans="1:11" ht="18.75">
      <c r="B18" s="104" t="s">
        <v>54</v>
      </c>
      <c r="C18" s="105">
        <f>-95/C65</f>
        <v>-111.97548326261197</v>
      </c>
      <c r="D18" s="153">
        <f>-153/C65</f>
        <v>-180.33946251768032</v>
      </c>
      <c r="E18" s="153">
        <f>235/C65</f>
        <v>276.99198491277696</v>
      </c>
    </row>
    <row r="19" spans="1:11" ht="19.5" thickBot="1">
      <c r="B19" s="104" t="s">
        <v>153</v>
      </c>
      <c r="C19" s="161">
        <f>(C17-C7+C18)/C17</f>
        <v>8.2585278276481031E-2</v>
      </c>
      <c r="D19" s="161">
        <f>(D17-D7+D18)/D17</f>
        <v>0.11228945726762318</v>
      </c>
      <c r="E19" s="161">
        <f>(E17-E7+E18)/E17</f>
        <v>8.9209281369677845E-2</v>
      </c>
    </row>
    <row r="20" spans="1:11" ht="18.75">
      <c r="A20" s="135" t="s">
        <v>35</v>
      </c>
      <c r="B20" s="157" t="s">
        <v>62</v>
      </c>
      <c r="C20" s="166">
        <v>533.04100000000005</v>
      </c>
      <c r="D20" s="167">
        <v>639.774</v>
      </c>
      <c r="E20" s="167">
        <v>639.774</v>
      </c>
    </row>
    <row r="21" spans="1:11" ht="19.5" thickBot="1">
      <c r="A21" s="137" t="s">
        <v>24</v>
      </c>
      <c r="B21" s="122" t="s">
        <v>14</v>
      </c>
      <c r="C21" s="168">
        <v>17.149999999999999</v>
      </c>
      <c r="D21" s="169">
        <v>22.9</v>
      </c>
      <c r="E21" s="170">
        <v>24.45</v>
      </c>
      <c r="F21" s="2"/>
      <c r="G21" s="145"/>
    </row>
    <row r="22" spans="1:11" ht="18.75">
      <c r="B22" s="101" t="s">
        <v>28</v>
      </c>
      <c r="C22" s="129">
        <f>C5*(1-C19)/(C14+C12)</f>
        <v>3.4642451117066979E-2</v>
      </c>
      <c r="D22" s="126">
        <f>D5*(1-D19)/(D14+D12)</f>
        <v>0.14112408800801576</v>
      </c>
      <c r="E22" s="130">
        <f>E5*(1-E19)/(E14+E12)</f>
        <v>0.17409016269443039</v>
      </c>
    </row>
    <row r="23" spans="1:11" ht="19.5" thickBot="1">
      <c r="B23" s="108" t="s">
        <v>29</v>
      </c>
      <c r="C23" s="173">
        <f>C5/C11</f>
        <v>2.9990247074122234E-2</v>
      </c>
      <c r="D23" s="174">
        <f>D5/D11</f>
        <v>0.1086201245493281</v>
      </c>
      <c r="E23" s="175">
        <f>E5/E11</f>
        <v>0.12183984853547167</v>
      </c>
    </row>
    <row r="25" spans="1:11" ht="15.75" thickBot="1"/>
    <row r="26" spans="1:11" ht="21.75" thickBot="1">
      <c r="B26" s="4"/>
      <c r="C26" s="29" t="s">
        <v>45</v>
      </c>
      <c r="D26" s="29" t="s">
        <v>46</v>
      </c>
      <c r="E26" s="30" t="s">
        <v>18</v>
      </c>
    </row>
    <row r="27" spans="1:11" ht="18.75">
      <c r="A27" s="132" t="s">
        <v>35</v>
      </c>
      <c r="B27" s="18" t="s">
        <v>0</v>
      </c>
      <c r="C27" s="17">
        <v>9567</v>
      </c>
      <c r="D27" s="17">
        <v>22197</v>
      </c>
      <c r="E27" s="17">
        <f>'Finacial Data'!D3</f>
        <v>28132</v>
      </c>
    </row>
    <row r="28" spans="1:11" ht="18.75">
      <c r="A28" s="133" t="s">
        <v>35</v>
      </c>
      <c r="B28" s="19" t="s">
        <v>1</v>
      </c>
      <c r="C28" s="23">
        <v>1630</v>
      </c>
      <c r="D28" s="23">
        <v>6969</v>
      </c>
      <c r="E28" s="23">
        <f>'Finacial Data'!D4</f>
        <v>5575</v>
      </c>
      <c r="J28" s="43"/>
      <c r="K28" s="43"/>
    </row>
    <row r="29" spans="1:11" ht="18.75">
      <c r="A29" s="133" t="s">
        <v>35</v>
      </c>
      <c r="B29" s="19" t="s">
        <v>2</v>
      </c>
      <c r="C29" s="23">
        <v>1299</v>
      </c>
      <c r="D29" s="23">
        <v>6416</v>
      </c>
      <c r="E29" s="23">
        <f>'Finacial Data'!D5</f>
        <v>4746</v>
      </c>
      <c r="J29" s="43"/>
      <c r="K29" s="43"/>
    </row>
    <row r="30" spans="1:11" ht="19.5" thickBot="1">
      <c r="A30" s="133" t="s">
        <v>35</v>
      </c>
      <c r="B30" s="19" t="s">
        <v>3</v>
      </c>
      <c r="C30" s="23">
        <v>1182</v>
      </c>
      <c r="D30" s="23">
        <f>4701</f>
        <v>4701</v>
      </c>
      <c r="E30" s="23">
        <f>3365</f>
        <v>3365</v>
      </c>
      <c r="J30" s="43"/>
      <c r="K30" s="43"/>
    </row>
    <row r="31" spans="1:11" ht="19.5" thickBot="1">
      <c r="A31" s="134" t="s">
        <v>35</v>
      </c>
      <c r="B31" s="7" t="s">
        <v>150</v>
      </c>
      <c r="C31" s="146">
        <f>C30+35</f>
        <v>1217</v>
      </c>
      <c r="D31" s="146">
        <f>D30+615</f>
        <v>5316</v>
      </c>
      <c r="E31" s="146">
        <f>E30+520</f>
        <v>3885</v>
      </c>
      <c r="J31" s="43"/>
      <c r="K31" s="43"/>
    </row>
    <row r="32" spans="1:11" ht="18.75">
      <c r="A32" s="135" t="s">
        <v>35</v>
      </c>
      <c r="B32" s="10" t="s">
        <v>4</v>
      </c>
      <c r="C32" s="24">
        <v>7315</v>
      </c>
      <c r="D32" s="24">
        <v>11564</v>
      </c>
      <c r="E32" s="24">
        <f>'Finacial Data'!D8</f>
        <v>19058</v>
      </c>
      <c r="J32" s="43"/>
      <c r="K32" s="14"/>
    </row>
    <row r="33" spans="1:11" ht="18.75">
      <c r="A33" s="136" t="s">
        <v>35</v>
      </c>
      <c r="B33" s="11" t="s">
        <v>5</v>
      </c>
      <c r="C33" s="25">
        <f>C32-760-140</f>
        <v>6415</v>
      </c>
      <c r="D33" s="25">
        <f>D32-2495-139</f>
        <v>8930</v>
      </c>
      <c r="E33" s="25">
        <f>'Finacial Data'!D9</f>
        <v>16909</v>
      </c>
      <c r="J33" s="43"/>
      <c r="K33" s="14"/>
    </row>
    <row r="34" spans="1:11" ht="18.75">
      <c r="A34" s="136" t="s">
        <v>35</v>
      </c>
      <c r="B34" s="11" t="s">
        <v>6</v>
      </c>
      <c r="C34" s="25">
        <v>2822</v>
      </c>
      <c r="D34" s="25">
        <v>7589</v>
      </c>
      <c r="E34" s="25">
        <f>'Finacial Data'!D10</f>
        <v>11984</v>
      </c>
      <c r="J34" s="43"/>
      <c r="K34" s="43"/>
    </row>
    <row r="35" spans="1:11" ht="19.5" thickBot="1">
      <c r="A35" s="137" t="s">
        <v>35</v>
      </c>
      <c r="B35" s="12" t="s">
        <v>38</v>
      </c>
      <c r="C35" s="26">
        <f>C32+C34</f>
        <v>10137</v>
      </c>
      <c r="D35" s="26">
        <f>D32+D34</f>
        <v>19153</v>
      </c>
      <c r="E35" s="26">
        <f>E32+E34</f>
        <v>31042</v>
      </c>
      <c r="J35" s="43"/>
      <c r="K35" s="43"/>
    </row>
    <row r="36" spans="1:11" ht="18.75">
      <c r="A36" s="132" t="s">
        <v>35</v>
      </c>
      <c r="B36" s="56" t="s">
        <v>149</v>
      </c>
      <c r="C36" s="153">
        <v>6454</v>
      </c>
      <c r="D36" s="153">
        <v>9528</v>
      </c>
      <c r="E36" s="153">
        <f>'Finacial Data'!D12</f>
        <v>19330</v>
      </c>
      <c r="J36" s="43"/>
      <c r="K36" s="43"/>
    </row>
    <row r="37" spans="1:11" ht="18.75">
      <c r="A37" s="133" t="s">
        <v>35</v>
      </c>
      <c r="B37" s="59" t="s">
        <v>48</v>
      </c>
      <c r="C37" s="153">
        <f>C44*C45</f>
        <v>5736.5615362999997</v>
      </c>
      <c r="D37" s="153">
        <f>D44*D45</f>
        <v>24843.248338999998</v>
      </c>
      <c r="E37" s="153">
        <f>E44*E45</f>
        <v>18772.78973</v>
      </c>
      <c r="J37" s="43"/>
      <c r="K37" s="43"/>
    </row>
    <row r="38" spans="1:11" ht="19.5" thickBot="1">
      <c r="A38" s="138" t="s">
        <v>35</v>
      </c>
      <c r="B38" s="60" t="s">
        <v>139</v>
      </c>
      <c r="C38" s="154">
        <f>(3683-760-140)-(2619-780)</f>
        <v>944</v>
      </c>
      <c r="D38" s="154">
        <f>(9625-2495-139)-(6230-341)</f>
        <v>1102</v>
      </c>
      <c r="E38" s="154">
        <f>'Finacial Data'!D14</f>
        <v>4282</v>
      </c>
      <c r="J38" s="43"/>
      <c r="K38" s="43"/>
    </row>
    <row r="39" spans="1:11" ht="18.75">
      <c r="A39" s="135" t="s">
        <v>35</v>
      </c>
      <c r="B39" s="157" t="s">
        <v>42</v>
      </c>
      <c r="C39" s="158">
        <f>C38+C36</f>
        <v>7398</v>
      </c>
      <c r="D39" s="158">
        <f>D38+D36</f>
        <v>10630</v>
      </c>
      <c r="E39" s="158">
        <f>E38+E36</f>
        <v>23612</v>
      </c>
    </row>
    <row r="40" spans="1:11" ht="19.5" thickBot="1">
      <c r="A40" s="131"/>
      <c r="B40" s="122" t="s">
        <v>41</v>
      </c>
      <c r="C40" s="165">
        <f>'WACC calculation'!C29</f>
        <v>7.6601231639647313E-2</v>
      </c>
      <c r="D40" s="165">
        <f>'WACC calculation'!D29</f>
        <v>8.161732258778176E-2</v>
      </c>
      <c r="E40" s="165">
        <f>'WACC calculation'!E29</f>
        <v>9.0606403007006814E-2</v>
      </c>
    </row>
    <row r="41" spans="1:11" ht="18.75">
      <c r="B41" s="97" t="s">
        <v>49</v>
      </c>
      <c r="C41" s="210">
        <v>1400</v>
      </c>
      <c r="D41" s="210">
        <v>6133</v>
      </c>
      <c r="E41" s="210">
        <v>4703</v>
      </c>
    </row>
    <row r="42" spans="1:11" ht="18.75">
      <c r="B42" s="97" t="s">
        <v>54</v>
      </c>
      <c r="C42" s="160">
        <v>-141</v>
      </c>
      <c r="D42" s="160">
        <v>-86</v>
      </c>
      <c r="E42" s="160">
        <v>-155</v>
      </c>
    </row>
    <row r="43" spans="1:11" ht="19.5" thickBot="1">
      <c r="B43" s="97" t="s">
        <v>153</v>
      </c>
      <c r="C43" s="172">
        <f>(C41-C31+C42)/C41</f>
        <v>0.03</v>
      </c>
      <c r="D43" s="172">
        <f>(D41-D31+D42)/D41</f>
        <v>0.11919126039458666</v>
      </c>
      <c r="E43" s="172">
        <f>(E41-E31+E42)/E41</f>
        <v>0.14097384648096958</v>
      </c>
    </row>
    <row r="44" spans="1:11" ht="18.75">
      <c r="A44" s="135" t="s">
        <v>35</v>
      </c>
      <c r="B44" s="157" t="s">
        <v>62</v>
      </c>
      <c r="C44" s="176">
        <v>646.73748999999998</v>
      </c>
      <c r="D44" s="176">
        <v>642.77485999999999</v>
      </c>
      <c r="E44" s="176">
        <v>712.98099999999999</v>
      </c>
    </row>
    <row r="45" spans="1:11" ht="19.5" thickBot="1">
      <c r="A45" s="137" t="s">
        <v>24</v>
      </c>
      <c r="B45" s="122" t="s">
        <v>14</v>
      </c>
      <c r="C45" s="176">
        <v>8.8699999999999992</v>
      </c>
      <c r="D45" s="176">
        <v>38.65</v>
      </c>
      <c r="E45" s="176">
        <f>'Finacial Data'!D27</f>
        <v>26.33</v>
      </c>
      <c r="F45" s="1"/>
    </row>
    <row r="46" spans="1:11" ht="18.75">
      <c r="B46" s="101" t="s">
        <v>28</v>
      </c>
      <c r="C46" s="126">
        <f>C29*(1-C43)/(C36+C38)</f>
        <v>0.17032035685320357</v>
      </c>
      <c r="D46" s="126">
        <f>D29*(1-D43)/(D36+D38)</f>
        <v>0.53163394857086854</v>
      </c>
      <c r="E46" s="126">
        <f>E29*(1-E43)/(E36+E38)</f>
        <v>0.17266382028635094</v>
      </c>
    </row>
    <row r="47" spans="1:11" ht="19.5" thickBot="1">
      <c r="B47" s="108" t="s">
        <v>29</v>
      </c>
      <c r="C47" s="174">
        <f>C29/(C32+C34)</f>
        <v>0.12814442142645754</v>
      </c>
      <c r="D47" s="174">
        <f>D29/(D32+D34)</f>
        <v>0.33498668615882632</v>
      </c>
      <c r="E47" s="174">
        <f>E29/(E32+E34)</f>
        <v>0.1528896333999098</v>
      </c>
    </row>
    <row r="50" spans="2:7" ht="18.75">
      <c r="B50" s="418" t="s">
        <v>143</v>
      </c>
      <c r="C50" s="419"/>
      <c r="E50" s="144"/>
      <c r="F50" s="15"/>
      <c r="G50" s="15"/>
    </row>
    <row r="51" spans="2:7" ht="18.75">
      <c r="B51" s="142" t="s">
        <v>141</v>
      </c>
      <c r="F51" s="15"/>
      <c r="G51" s="15"/>
    </row>
    <row r="53" spans="2:7" ht="18.75">
      <c r="B53" s="144"/>
      <c r="E53" s="1"/>
    </row>
    <row r="54" spans="2:7" ht="18.75">
      <c r="B54" s="144" t="s">
        <v>147</v>
      </c>
      <c r="E54" s="1"/>
    </row>
    <row r="55" spans="2:7">
      <c r="B55" s="419" t="s">
        <v>162</v>
      </c>
      <c r="C55" s="419"/>
      <c r="E55" s="1"/>
    </row>
    <row r="56" spans="2:7">
      <c r="B56" s="1" t="s">
        <v>26</v>
      </c>
      <c r="E56" s="1"/>
    </row>
    <row r="57" spans="2:7">
      <c r="B57" s="1" t="s">
        <v>36</v>
      </c>
      <c r="E57" s="1"/>
    </row>
    <row r="58" spans="2:7">
      <c r="B58" s="1" t="s">
        <v>37</v>
      </c>
    </row>
    <row r="59" spans="2:7">
      <c r="B59" s="1" t="s">
        <v>63</v>
      </c>
    </row>
    <row r="60" spans="2:7">
      <c r="B60" s="1"/>
    </row>
    <row r="61" spans="2:7" ht="15.75" thickBot="1"/>
    <row r="62" spans="2:7">
      <c r="B62" s="187" t="s">
        <v>50</v>
      </c>
      <c r="C62" s="177">
        <v>117.47</v>
      </c>
      <c r="D62" s="178">
        <v>38807</v>
      </c>
    </row>
    <row r="63" spans="2:7">
      <c r="B63" s="188" t="s">
        <v>50</v>
      </c>
      <c r="C63" s="179">
        <v>117.87</v>
      </c>
      <c r="D63" s="180">
        <v>38717</v>
      </c>
    </row>
    <row r="64" spans="2:7">
      <c r="B64" s="188" t="s">
        <v>51</v>
      </c>
      <c r="C64" s="179">
        <v>1020.73</v>
      </c>
      <c r="D64" s="180">
        <v>38717</v>
      </c>
    </row>
    <row r="65" spans="2:4">
      <c r="B65" s="188" t="s">
        <v>52</v>
      </c>
      <c r="C65" s="181">
        <v>0.84840000000000004</v>
      </c>
      <c r="D65" s="180">
        <v>38717</v>
      </c>
    </row>
    <row r="66" spans="2:4" ht="15.75" thickBot="1">
      <c r="B66" s="189" t="s">
        <v>53</v>
      </c>
      <c r="C66" s="182">
        <v>0.58130000000000004</v>
      </c>
      <c r="D66" s="183">
        <v>38717</v>
      </c>
    </row>
  </sheetData>
  <mergeCells count="2">
    <mergeCell ref="B50:C50"/>
    <mergeCell ref="B55:C55"/>
  </mergeCells>
  <phoneticPr fontId="7" type="noConversion"/>
  <pageMargins left="0.511811024" right="0.511811024" top="0.78740157499999996" bottom="0.78740157499999996" header="0.31496062000000002" footer="0.31496062000000002"/>
  <pageSetup paperSize="9" scale="41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5"/>
  <sheetViews>
    <sheetView zoomScale="70" zoomScaleNormal="70" workbookViewId="0"/>
  </sheetViews>
  <sheetFormatPr defaultRowHeight="15"/>
  <cols>
    <col min="1" max="1" width="16.5703125" bestFit="1" customWidth="1"/>
    <col min="2" max="2" width="54" bestFit="1" customWidth="1"/>
    <col min="3" max="3" width="39.7109375" customWidth="1"/>
    <col min="4" max="4" width="39.7109375" bestFit="1" customWidth="1"/>
    <col min="5" max="5" width="38.5703125" bestFit="1" customWidth="1"/>
  </cols>
  <sheetData>
    <row r="1" spans="1:8" ht="15.75" thickBot="1">
      <c r="A1" s="33"/>
    </row>
    <row r="2" spans="1:8" ht="21.75" thickBot="1">
      <c r="A2" s="33"/>
      <c r="B2" s="4"/>
      <c r="C2" s="30" t="s">
        <v>39</v>
      </c>
      <c r="D2" s="30" t="s">
        <v>40</v>
      </c>
      <c r="E2" s="30" t="s">
        <v>33</v>
      </c>
    </row>
    <row r="3" spans="1:8" ht="18.75">
      <c r="A3" s="132" t="s">
        <v>35</v>
      </c>
      <c r="B3" s="18" t="s">
        <v>0</v>
      </c>
      <c r="C3" s="37">
        <f>'Arcelor and Mittal in detail'!C3+'Arcelor and Mittal in detail'!C27</f>
        <v>40122.162659123052</v>
      </c>
      <c r="D3" s="49">
        <f>'Arcelor and Mittal in detail'!D3+'Arcelor and Mittal in detail'!D27</f>
        <v>57765.128241395563</v>
      </c>
      <c r="E3" s="49">
        <f>'Arcelor and Mittal in detail'!E3+'Arcelor and Mittal in detail'!E27</f>
        <v>66570.236680810936</v>
      </c>
    </row>
    <row r="4" spans="1:8" ht="18.75">
      <c r="A4" s="133" t="s">
        <v>35</v>
      </c>
      <c r="B4" s="19" t="s">
        <v>1</v>
      </c>
      <c r="C4" s="38">
        <f>'Arcelor and Mittal in detail'!C4+'Arcelor and Mittal in detail'!C28</f>
        <v>4256.1197548326254</v>
      </c>
      <c r="D4" s="35">
        <f>'Arcelor and Mittal in detail'!D4+'Arcelor and Mittal in detail'!D28</f>
        <v>12227.132956152758</v>
      </c>
      <c r="E4" s="35">
        <f>'Arcelor and Mittal in detail'!E4+'Arcelor and Mittal in detail'!E28</f>
        <v>12223.986327204148</v>
      </c>
    </row>
    <row r="5" spans="1:8" ht="18.75">
      <c r="A5" s="133" t="s">
        <v>35</v>
      </c>
      <c r="B5" s="19" t="s">
        <v>2</v>
      </c>
      <c r="C5" s="38">
        <f>'Arcelor and Mittal in detail'!C5+'Arcelor and Mittal in detail'!C29</f>
        <v>2168.8727015558698</v>
      </c>
      <c r="D5" s="35">
        <f>'Arcelor and Mittal in detail'!D5+'Arcelor and Mittal in detail'!D29</f>
        <v>10322.176331918905</v>
      </c>
      <c r="E5" s="35">
        <f>'Arcelor and Mittal in detail'!E5+'Arcelor and Mittal in detail'!E29</f>
        <v>9903.944365865158</v>
      </c>
      <c r="G5" s="47"/>
      <c r="H5" s="47"/>
    </row>
    <row r="6" spans="1:8" ht="19.5" thickBot="1">
      <c r="A6" s="133" t="s">
        <v>35</v>
      </c>
      <c r="B6" s="19" t="s">
        <v>3</v>
      </c>
      <c r="C6" s="38">
        <f>'Arcelor and Mittal in detail'!C6+'Arcelor and Mittal in detail'!C30</f>
        <v>1484.923149457803</v>
      </c>
      <c r="D6" s="35">
        <f>'Arcelor and Mittal in detail'!D6+'Arcelor and Mittal in detail'!D30</f>
        <v>7400.1984912776988</v>
      </c>
      <c r="E6" s="35">
        <f>'Arcelor and Mittal in detail'!E6+'Arcelor and Mittal in detail'!E30</f>
        <v>7898.2390381895329</v>
      </c>
    </row>
    <row r="7" spans="1:8" ht="19.5" thickBot="1">
      <c r="A7" s="134" t="s">
        <v>35</v>
      </c>
      <c r="B7" s="7" t="s">
        <v>150</v>
      </c>
      <c r="C7" s="37">
        <f>'Arcelor and Mittal in detail'!C7+'Arcelor and Mittal in detail'!C31</f>
        <v>1707.3347477604902</v>
      </c>
      <c r="D7" s="49">
        <f>'Arcelor and Mittal in detail'!D7+'Arcelor and Mittal in detail'!D31</f>
        <v>8490.2102781706744</v>
      </c>
      <c r="E7" s="49">
        <f>'Arcelor and Mittal in detail'!E7+'Arcelor and Mittal in detail'!E31</f>
        <v>8927.4328147100423</v>
      </c>
    </row>
    <row r="8" spans="1:8" ht="18.75">
      <c r="A8" s="135" t="s">
        <v>35</v>
      </c>
      <c r="B8" s="199" t="s">
        <v>4</v>
      </c>
      <c r="C8" s="204">
        <f>'Arcelor and Mittal in detail'!C8+'Arcelor and Mittal in detail'!C32</f>
        <v>28384.07119283357</v>
      </c>
      <c r="D8" s="205">
        <f>'Arcelor and Mittal in detail'!D8+'Arcelor and Mittal in detail'!D32</f>
        <v>33113.976426214052</v>
      </c>
      <c r="E8" s="205">
        <f>'Arcelor and Mittal in detail'!E8+'Arcelor and Mittal in detail'!E32</f>
        <v>40607.976426214052</v>
      </c>
      <c r="H8" s="47"/>
    </row>
    <row r="9" spans="1:8" ht="18.75">
      <c r="A9" s="136" t="s">
        <v>35</v>
      </c>
      <c r="B9" s="194" t="s">
        <v>5</v>
      </c>
      <c r="C9" s="206">
        <f>'Arcelor and Mittal in detail'!C9+'Arcelor and Mittal in detail'!C33</f>
        <v>25256.348420556344</v>
      </c>
      <c r="D9" s="158">
        <f>'Arcelor and Mittal in detail'!D9+'Arcelor and Mittal in detail'!D33</f>
        <v>25714.535596416783</v>
      </c>
      <c r="E9" s="158">
        <f>'Arcelor and Mittal in detail'!E9+'Arcelor and Mittal in detail'!E33</f>
        <v>32983.964639321071</v>
      </c>
    </row>
    <row r="10" spans="1:8" ht="18.75">
      <c r="A10" s="136" t="s">
        <v>35</v>
      </c>
      <c r="B10" s="194" t="s">
        <v>6</v>
      </c>
      <c r="C10" s="206">
        <f>'Arcelor and Mittal in detail'!C10+'Arcelor and Mittal in detail'!C34</f>
        <v>10758.115040075436</v>
      </c>
      <c r="D10" s="158">
        <f>'Arcelor and Mittal in detail'!D10+'Arcelor and Mittal in detail'!D34</f>
        <v>22000.834040546913</v>
      </c>
      <c r="E10" s="158">
        <f>'Arcelor and Mittal in detail'!E10+'Arcelor and Mittal in detail'!E34</f>
        <v>32767.828382838281</v>
      </c>
      <c r="G10" s="47"/>
    </row>
    <row r="11" spans="1:8" ht="19.5" thickBot="1">
      <c r="A11" s="137" t="s">
        <v>35</v>
      </c>
      <c r="B11" s="203" t="s">
        <v>38</v>
      </c>
      <c r="C11" s="207">
        <f>'Arcelor and Mittal in detail'!C11+'Arcelor and Mittal in detail'!C35</f>
        <v>39142.186232909007</v>
      </c>
      <c r="D11" s="208">
        <f>'Arcelor and Mittal in detail'!D11+'Arcelor and Mittal in detail'!D35</f>
        <v>55114.810466760959</v>
      </c>
      <c r="E11" s="208">
        <f>'Arcelor and Mittal in detail'!E11+'Arcelor and Mittal in detail'!E35</f>
        <v>73375.804809052323</v>
      </c>
    </row>
    <row r="12" spans="1:8" ht="18.75">
      <c r="A12" s="132" t="s">
        <v>35</v>
      </c>
      <c r="B12" s="162" t="s">
        <v>149</v>
      </c>
      <c r="C12" s="151">
        <f>'Arcelor and Mittal in detail'!C12+'Arcelor and Mittal in detail'!C36</f>
        <v>21293.698255539839</v>
      </c>
      <c r="D12" s="153">
        <f>'Arcelor and Mittal in detail'!D12+'Arcelor and Mittal in detail'!D36</f>
        <v>27520.69212635549</v>
      </c>
      <c r="E12" s="153">
        <f>'Arcelor and Mittal in detail'!E12+'Arcelor and Mittal in detail'!E36</f>
        <v>40777.430457331444</v>
      </c>
    </row>
    <row r="13" spans="1:8" ht="18.75">
      <c r="A13" s="133" t="s">
        <v>35</v>
      </c>
      <c r="B13" s="61" t="s">
        <v>48</v>
      </c>
      <c r="C13" s="151">
        <f>'Arcelor and Mittal in detail'!C13+'Arcelor and Mittal in detail'!C37</f>
        <v>14878.2146863</v>
      </c>
      <c r="D13" s="151">
        <f>'Arcelor and Mittal in detail'!D13+'Arcelor and Mittal in detail'!D37</f>
        <v>39494.072938999998</v>
      </c>
      <c r="E13" s="153">
        <f>'Arcelor and Mittal in detail'!E13+'Arcelor and Mittal in detail'!E37</f>
        <v>34415.264029999998</v>
      </c>
    </row>
    <row r="14" spans="1:8" ht="19.5" thickBot="1">
      <c r="A14" s="138" t="s">
        <v>35</v>
      </c>
      <c r="B14" s="163" t="s">
        <v>139</v>
      </c>
      <c r="C14" s="152">
        <f>'Arcelor and Mittal in detail'!C14+'Arcelor and Mittal in detail'!C38</f>
        <v>9140.6053748231971</v>
      </c>
      <c r="D14" s="154">
        <f>'Arcelor and Mittal in detail'!D14+'Arcelor and Mittal in detail'!D38</f>
        <v>7680.2649693540779</v>
      </c>
      <c r="E14" s="154">
        <f>'Arcelor and Mittal in detail'!E14+'Arcelor and Mittal in detail'!E38</f>
        <v>9819.4823196605375</v>
      </c>
    </row>
    <row r="15" spans="1:8" ht="18.75">
      <c r="A15" s="135" t="s">
        <v>35</v>
      </c>
      <c r="B15" s="111" t="s">
        <v>42</v>
      </c>
      <c r="C15" s="200">
        <f>'Arcelor and Mittal in detail'!C15+'Arcelor and Mittal in detail'!C39</f>
        <v>30434.303630363036</v>
      </c>
      <c r="D15" s="201">
        <f>'Arcelor and Mittal in detail'!D15+'Arcelor and Mittal in detail'!D39</f>
        <v>35200.957095709571</v>
      </c>
      <c r="E15" s="201">
        <f>'Arcelor and Mittal in detail'!E15+'Arcelor and Mittal in detail'!E39</f>
        <v>50596.912776991987</v>
      </c>
    </row>
    <row r="16" spans="1:8" ht="19.5" thickBot="1">
      <c r="A16" s="131"/>
      <c r="B16" s="112" t="s">
        <v>41</v>
      </c>
      <c r="C16" s="156">
        <f>'WACC calculation'!C37</f>
        <v>7.5640467776554504E-2</v>
      </c>
      <c r="D16" s="156">
        <f>'WACC calculation'!D37</f>
        <v>8.1702093525473682E-2</v>
      </c>
      <c r="E16" s="164">
        <f>'WACC calculation'!E37</f>
        <v>9.1114967128016477E-2</v>
      </c>
    </row>
    <row r="17" spans="1:5" ht="18.75">
      <c r="A17" s="33"/>
      <c r="B17" s="97" t="s">
        <v>49</v>
      </c>
      <c r="C17" s="209">
        <f>'Arcelor and Mittal in detail'!C17+'Arcelor and Mittal in detail'!C41</f>
        <v>2056.5299387081564</v>
      </c>
      <c r="D17" s="210">
        <f>'Arcelor and Mittal in detail'!D17+'Arcelor and Mittal in detail'!D41</f>
        <v>9911.877887788778</v>
      </c>
      <c r="E17" s="210">
        <f>'Arcelor and Mittal in detail'!E17+'Arcelor and Mittal in detail'!E41</f>
        <v>9935.2017916077311</v>
      </c>
    </row>
    <row r="18" spans="1:5" ht="18.75">
      <c r="A18" s="33"/>
      <c r="B18" s="97" t="s">
        <v>54</v>
      </c>
      <c r="C18" s="150">
        <f>'Arcelor and Mittal in detail'!C18+'Arcelor and Mittal in detail'!C42</f>
        <v>-252.97548326261199</v>
      </c>
      <c r="D18" s="160">
        <f>'Arcelor and Mittal in detail'!D18+'Arcelor and Mittal in detail'!D42</f>
        <v>-266.33946251768032</v>
      </c>
      <c r="E18" s="160">
        <f>'Arcelor and Mittal in detail'!E18+'Arcelor and Mittal in detail'!E42</f>
        <v>121.99198491277696</v>
      </c>
    </row>
    <row r="19" spans="1:5" ht="19.5" thickBot="1">
      <c r="A19" s="33"/>
      <c r="B19" s="97" t="s">
        <v>153</v>
      </c>
      <c r="C19" s="171">
        <f>(C17-C7-C18)/C17</f>
        <v>0.2928090969531626</v>
      </c>
      <c r="D19" s="171">
        <f>(D17-D7-D18)/D17</f>
        <v>0.17030143946944429</v>
      </c>
      <c r="E19" s="172">
        <f>(E17-E7-E18)/E17</f>
        <v>8.9155410283979136E-2</v>
      </c>
    </row>
    <row r="20" spans="1:5" ht="18.75">
      <c r="A20" s="135" t="s">
        <v>35</v>
      </c>
      <c r="B20" s="10" t="s">
        <v>178</v>
      </c>
      <c r="C20" s="200">
        <f>'New company requested data'!C20</f>
        <v>1385.2689</v>
      </c>
      <c r="D20" s="200">
        <f>'New company requested data'!C20</f>
        <v>1385.2689</v>
      </c>
      <c r="E20" s="201">
        <f>'New company requested data'!C20</f>
        <v>1385.2689</v>
      </c>
    </row>
    <row r="21" spans="1:5" ht="19.5" thickBot="1">
      <c r="A21" s="137" t="s">
        <v>24</v>
      </c>
      <c r="B21" s="122" t="s">
        <v>14</v>
      </c>
      <c r="C21" s="54">
        <f>C13/C20</f>
        <v>10.740308027055253</v>
      </c>
      <c r="D21" s="54">
        <f>D13/D20</f>
        <v>28.510040858493248</v>
      </c>
      <c r="E21" s="252">
        <f>E13/E20</f>
        <v>24.843742633650404</v>
      </c>
    </row>
    <row r="22" spans="1:5" ht="18.75">
      <c r="A22" s="33"/>
      <c r="B22" s="95" t="s">
        <v>28</v>
      </c>
      <c r="C22" s="123">
        <f>C5*(1-C19)/C15</f>
        <v>5.0397310319159533E-2</v>
      </c>
      <c r="D22" s="123">
        <f>D5*(1-D19)/D15</f>
        <v>0.24329721549473257</v>
      </c>
      <c r="E22" s="124">
        <f>E5*(1-E19)/E15</f>
        <v>0.17829060405833416</v>
      </c>
    </row>
    <row r="23" spans="1:5" ht="19.5" thickBot="1">
      <c r="A23" s="33"/>
      <c r="B23" s="99" t="s">
        <v>29</v>
      </c>
      <c r="C23" s="171">
        <f>C5/C11</f>
        <v>5.5410106340263082E-2</v>
      </c>
      <c r="D23" s="171">
        <f>D5/D11</f>
        <v>0.18728498282950784</v>
      </c>
      <c r="E23" s="172">
        <f>E5/E11</f>
        <v>0.134975614804341</v>
      </c>
    </row>
    <row r="24" spans="1:5">
      <c r="A24" s="33"/>
    </row>
    <row r="25" spans="1:5" s="33" customFormat="1"/>
    <row r="26" spans="1:5" s="33" customFormat="1">
      <c r="B26" s="418" t="s">
        <v>179</v>
      </c>
      <c r="C26" s="420"/>
    </row>
    <row r="27" spans="1:5" s="33" customFormat="1">
      <c r="B27" s="142" t="s">
        <v>141</v>
      </c>
    </row>
    <row r="28" spans="1:5" s="33" customFormat="1">
      <c r="B28" s="33" t="s">
        <v>180</v>
      </c>
    </row>
    <row r="29" spans="1:5" s="33" customFormat="1"/>
    <row r="30" spans="1:5" s="33" customFormat="1" ht="18.75">
      <c r="B30" s="240" t="s">
        <v>147</v>
      </c>
    </row>
    <row r="31" spans="1:5" s="33" customFormat="1">
      <c r="B31" s="33" t="s">
        <v>162</v>
      </c>
    </row>
    <row r="32" spans="1:5" s="33" customFormat="1">
      <c r="B32" s="241" t="s">
        <v>26</v>
      </c>
    </row>
    <row r="33" spans="2:4" s="33" customFormat="1">
      <c r="B33" s="241" t="s">
        <v>36</v>
      </c>
    </row>
    <row r="34" spans="2:4" s="33" customFormat="1">
      <c r="B34" s="241" t="s">
        <v>37</v>
      </c>
    </row>
    <row r="35" spans="2:4" s="33" customFormat="1">
      <c r="B35" s="241" t="s">
        <v>63</v>
      </c>
    </row>
    <row r="36" spans="2:4" s="33" customFormat="1">
      <c r="B36" s="241"/>
    </row>
    <row r="37" spans="2:4" s="33" customFormat="1" ht="15.75" thickBot="1"/>
    <row r="38" spans="2:4" s="33" customFormat="1">
      <c r="B38" s="242" t="s">
        <v>50</v>
      </c>
      <c r="C38" s="243">
        <v>117.47</v>
      </c>
      <c r="D38" s="244">
        <v>38807</v>
      </c>
    </row>
    <row r="39" spans="2:4" s="33" customFormat="1">
      <c r="B39" s="245" t="s">
        <v>50</v>
      </c>
      <c r="C39" s="246">
        <v>117.87</v>
      </c>
      <c r="D39" s="247">
        <v>38717</v>
      </c>
    </row>
    <row r="40" spans="2:4" s="33" customFormat="1">
      <c r="B40" s="245" t="s">
        <v>51</v>
      </c>
      <c r="C40" s="246">
        <v>1020.73</v>
      </c>
      <c r="D40" s="247">
        <v>38717</v>
      </c>
    </row>
    <row r="41" spans="2:4" s="33" customFormat="1">
      <c r="B41" s="245" t="s">
        <v>52</v>
      </c>
      <c r="C41" s="248">
        <v>0.84840000000000004</v>
      </c>
      <c r="D41" s="247">
        <v>38717</v>
      </c>
    </row>
    <row r="42" spans="2:4" s="33" customFormat="1" ht="15.75" thickBot="1">
      <c r="B42" s="249" t="s">
        <v>53</v>
      </c>
      <c r="C42" s="250">
        <v>0.58130000000000004</v>
      </c>
      <c r="D42" s="251">
        <v>38717</v>
      </c>
    </row>
    <row r="43" spans="2:4" s="33" customFormat="1"/>
    <row r="44" spans="2:4" s="33" customFormat="1"/>
    <row r="45" spans="2:4" s="33" customFormat="1"/>
  </sheetData>
  <mergeCells count="1">
    <mergeCell ref="B26:C26"/>
  </mergeCells>
  <phoneticPr fontId="7" type="noConversion"/>
  <pageMargins left="0.511811024" right="0.511811024" top="0.78740157499999996" bottom="0.78740157499999996" header="0.31496062000000002" footer="0.31496062000000002"/>
  <pageSetup paperSize="9" scale="68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7"/>
  <sheetViews>
    <sheetView zoomScale="70" zoomScaleNormal="70" workbookViewId="0"/>
  </sheetViews>
  <sheetFormatPr defaultRowHeight="15"/>
  <cols>
    <col min="1" max="1" width="16.5703125" bestFit="1" customWidth="1"/>
    <col min="2" max="2" width="55.42578125" bestFit="1" customWidth="1"/>
    <col min="3" max="5" width="38.5703125" customWidth="1"/>
  </cols>
  <sheetData>
    <row r="1" spans="1:7" ht="15.75" thickBot="1">
      <c r="A1" s="33"/>
    </row>
    <row r="2" spans="1:7" ht="21.75" thickBot="1">
      <c r="A2" s="33"/>
      <c r="B2" s="4"/>
      <c r="C2" s="78" t="s">
        <v>181</v>
      </c>
      <c r="D2" s="29" t="s">
        <v>59</v>
      </c>
      <c r="E2" s="29" t="s">
        <v>60</v>
      </c>
    </row>
    <row r="3" spans="1:7" ht="18.75">
      <c r="A3" s="132" t="s">
        <v>35</v>
      </c>
      <c r="B3" s="18" t="s">
        <v>0</v>
      </c>
      <c r="C3" s="37">
        <v>58870</v>
      </c>
      <c r="D3" s="49">
        <v>105216</v>
      </c>
      <c r="E3" s="49">
        <v>124936</v>
      </c>
    </row>
    <row r="4" spans="1:7" ht="18.75">
      <c r="A4" s="133" t="s">
        <v>35</v>
      </c>
      <c r="B4" s="19" t="s">
        <v>1</v>
      </c>
      <c r="C4" s="38">
        <v>9856</v>
      </c>
      <c r="D4" s="35">
        <v>19400</v>
      </c>
      <c r="E4" s="35">
        <v>18336</v>
      </c>
      <c r="G4" s="47"/>
    </row>
    <row r="5" spans="1:7" ht="18.75">
      <c r="A5" s="133" t="s">
        <v>35</v>
      </c>
      <c r="B5" s="19" t="s">
        <v>2</v>
      </c>
      <c r="C5" s="38">
        <f>C4-2324</f>
        <v>7532</v>
      </c>
      <c r="D5" s="35">
        <f>D4-4570</f>
        <v>14830</v>
      </c>
      <c r="E5" s="35">
        <f>E4-6100</f>
        <v>12236</v>
      </c>
    </row>
    <row r="6" spans="1:7" ht="19.5" thickBot="1">
      <c r="A6" s="133" t="s">
        <v>35</v>
      </c>
      <c r="B6" s="19" t="s">
        <v>3</v>
      </c>
      <c r="C6" s="38">
        <v>5247</v>
      </c>
      <c r="D6" s="35">
        <v>10368</v>
      </c>
      <c r="E6" s="35">
        <v>9399</v>
      </c>
    </row>
    <row r="7" spans="1:7" ht="19.5" thickBot="1">
      <c r="A7" s="134" t="s">
        <v>35</v>
      </c>
      <c r="B7" s="7" t="s">
        <v>150</v>
      </c>
      <c r="C7" s="48">
        <f>C6+859</f>
        <v>6106</v>
      </c>
      <c r="D7" s="50">
        <f>D6+1482</f>
        <v>11850</v>
      </c>
      <c r="E7" s="50">
        <v>10439</v>
      </c>
      <c r="G7" s="47"/>
    </row>
    <row r="8" spans="1:7" ht="18.75">
      <c r="A8" s="135" t="s">
        <v>35</v>
      </c>
      <c r="B8" s="10" t="s">
        <v>4</v>
      </c>
      <c r="C8" s="204">
        <v>62453</v>
      </c>
      <c r="D8" s="205">
        <v>72090</v>
      </c>
      <c r="E8" s="205">
        <v>73858</v>
      </c>
    </row>
    <row r="9" spans="1:7" ht="18.75">
      <c r="A9" s="136" t="s">
        <v>35</v>
      </c>
      <c r="B9" s="11" t="s">
        <v>5</v>
      </c>
      <c r="C9" s="206">
        <f>C8-6020-126</f>
        <v>56307</v>
      </c>
      <c r="D9" s="158">
        <f>D8-7860-245</f>
        <v>63985</v>
      </c>
      <c r="E9" s="158">
        <f>E8-7578</f>
        <v>66280</v>
      </c>
    </row>
    <row r="10" spans="1:7" ht="18.75">
      <c r="A10" s="136" t="s">
        <v>35</v>
      </c>
      <c r="B10" s="11" t="s">
        <v>6</v>
      </c>
      <c r="C10" s="206">
        <v>50228</v>
      </c>
      <c r="D10" s="158">
        <v>61535</v>
      </c>
      <c r="E10" s="158">
        <v>59230</v>
      </c>
    </row>
    <row r="11" spans="1:7" ht="19.5" thickBot="1">
      <c r="A11" s="137" t="s">
        <v>35</v>
      </c>
      <c r="B11" s="12" t="s">
        <v>38</v>
      </c>
      <c r="C11" s="207">
        <f>C10+C8</f>
        <v>112681</v>
      </c>
      <c r="D11" s="208">
        <f>D10+D8</f>
        <v>133625</v>
      </c>
      <c r="E11" s="208">
        <f>E10+E8</f>
        <v>133088</v>
      </c>
    </row>
    <row r="12" spans="1:7" ht="18.75">
      <c r="A12" s="132" t="s">
        <v>35</v>
      </c>
      <c r="B12" s="56" t="s">
        <v>149</v>
      </c>
      <c r="C12" s="150">
        <v>73268</v>
      </c>
      <c r="D12" s="160">
        <v>88297</v>
      </c>
      <c r="E12" s="160">
        <v>88674</v>
      </c>
    </row>
    <row r="13" spans="1:7" ht="18.75">
      <c r="A13" s="133" t="s">
        <v>35</v>
      </c>
      <c r="B13" s="59" t="s">
        <v>48</v>
      </c>
      <c r="C13" s="150">
        <f>C20*C21</f>
        <v>58430.642202000003</v>
      </c>
      <c r="D13" s="160">
        <f>D20*D21</f>
        <v>109958.48590999999</v>
      </c>
      <c r="E13" s="160">
        <f>E20*E21</f>
        <v>33589.995819299998</v>
      </c>
    </row>
    <row r="14" spans="1:7" ht="19.5" thickBot="1">
      <c r="A14" s="138" t="s">
        <v>35</v>
      </c>
      <c r="B14" s="20" t="s">
        <v>182</v>
      </c>
      <c r="C14" s="229">
        <f>(39413-6020-126)-(24560-4922)</f>
        <v>13629</v>
      </c>
      <c r="D14" s="211">
        <f>(45328-7860-245)-(32209-8542)</f>
        <v>13556</v>
      </c>
      <c r="E14" s="211">
        <f>(44414-7576-11)-(30760-8409)</f>
        <v>14476</v>
      </c>
    </row>
    <row r="15" spans="1:7" ht="18.75">
      <c r="A15" s="135" t="s">
        <v>35</v>
      </c>
      <c r="B15" s="157" t="s">
        <v>42</v>
      </c>
      <c r="C15" s="200">
        <f>C12+C14</f>
        <v>86897</v>
      </c>
      <c r="D15" s="201">
        <f>D12+D14</f>
        <v>101853</v>
      </c>
      <c r="E15" s="201">
        <f>E12+E14</f>
        <v>103150</v>
      </c>
    </row>
    <row r="16" spans="1:7" ht="19.5" thickBot="1">
      <c r="A16" s="131"/>
      <c r="B16" s="122" t="s">
        <v>41</v>
      </c>
      <c r="C16" s="156">
        <f>'WACC calculation'!C52</f>
        <v>0.10380366618384854</v>
      </c>
      <c r="D16" s="164">
        <f>'WACC calculation'!D52</f>
        <v>0.12215319202457495</v>
      </c>
      <c r="E16" s="164">
        <f>'WACC calculation'!E52</f>
        <v>0.10187060253155286</v>
      </c>
    </row>
    <row r="17" spans="1:5" ht="18.75">
      <c r="A17" s="33"/>
      <c r="B17" s="104" t="s">
        <v>49</v>
      </c>
      <c r="C17" s="85">
        <v>7228</v>
      </c>
      <c r="D17" s="49">
        <v>14888</v>
      </c>
      <c r="E17" s="49">
        <v>11537</v>
      </c>
    </row>
    <row r="18" spans="1:5" ht="18.75">
      <c r="A18" s="33"/>
      <c r="B18" s="104" t="s">
        <v>54</v>
      </c>
      <c r="C18" s="34">
        <v>-145</v>
      </c>
      <c r="D18" s="35">
        <v>494</v>
      </c>
      <c r="E18" s="35">
        <v>-1396</v>
      </c>
    </row>
    <row r="19" spans="1:5" ht="19.5" thickBot="1">
      <c r="A19" s="33"/>
      <c r="B19" s="8" t="s">
        <v>183</v>
      </c>
      <c r="C19" s="212">
        <f>(C17-C7-C18)/C17</f>
        <v>0.17529053680132817</v>
      </c>
      <c r="D19" s="195">
        <f>(D17-D7-D18)/D17</f>
        <v>0.17087587318645889</v>
      </c>
      <c r="E19" s="195">
        <f>(E17-E7-E18)/E17</f>
        <v>0.21617404871283696</v>
      </c>
    </row>
    <row r="20" spans="1:5" ht="18.75">
      <c r="A20" s="135" t="s">
        <v>35</v>
      </c>
      <c r="B20" s="157" t="s">
        <v>62</v>
      </c>
      <c r="C20" s="213">
        <v>1385.2689</v>
      </c>
      <c r="D20" s="155">
        <v>1421.5706</v>
      </c>
      <c r="E20" s="155">
        <v>1366.00227</v>
      </c>
    </row>
    <row r="21" spans="1:5" ht="19.5" thickBot="1">
      <c r="A21" s="137" t="s">
        <v>24</v>
      </c>
      <c r="B21" s="122" t="s">
        <v>14</v>
      </c>
      <c r="C21" s="214">
        <v>42.18</v>
      </c>
      <c r="D21" s="230">
        <v>77.349999999999994</v>
      </c>
      <c r="E21" s="230">
        <v>24.59</v>
      </c>
    </row>
    <row r="22" spans="1:5" ht="18.75">
      <c r="A22" s="33"/>
      <c r="B22" s="101" t="s">
        <v>28</v>
      </c>
      <c r="C22" s="123">
        <f>C5*(1-C19)/C15</f>
        <v>7.1483614817685254E-2</v>
      </c>
      <c r="D22" s="124">
        <f>D5*(1-D19)/D15</f>
        <v>0.12072212699326298</v>
      </c>
      <c r="E22" s="124">
        <f>E5*(1-E19)/E15</f>
        <v>9.298007115801965E-2</v>
      </c>
    </row>
    <row r="23" spans="1:5" ht="19.5" thickBot="1">
      <c r="A23" s="33"/>
      <c r="B23" s="108" t="s">
        <v>29</v>
      </c>
      <c r="C23" s="171">
        <f>C5/C11</f>
        <v>6.6843567238487417E-2</v>
      </c>
      <c r="D23" s="172">
        <f>D5/D11</f>
        <v>0.1109822263797942</v>
      </c>
      <c r="E23" s="172">
        <f>E5/E11</f>
        <v>9.1939168069247415E-2</v>
      </c>
    </row>
    <row r="24" spans="1:5">
      <c r="A24" s="33"/>
    </row>
    <row r="26" spans="1:5">
      <c r="B26" t="s">
        <v>186</v>
      </c>
    </row>
    <row r="27" spans="1:5">
      <c r="B27" s="418" t="s">
        <v>184</v>
      </c>
      <c r="C27" s="419"/>
    </row>
    <row r="28" spans="1:5">
      <c r="B28" s="142" t="s">
        <v>185</v>
      </c>
    </row>
    <row r="30" spans="1:5" ht="18.75">
      <c r="B30" s="144"/>
    </row>
    <row r="31" spans="1:5" ht="18.75">
      <c r="B31" s="144" t="s">
        <v>147</v>
      </c>
    </row>
    <row r="32" spans="1:5">
      <c r="B32" t="s">
        <v>163</v>
      </c>
    </row>
    <row r="33" spans="2:2">
      <c r="B33" s="1" t="s">
        <v>26</v>
      </c>
    </row>
    <row r="34" spans="2:2">
      <c r="B34" s="1" t="s">
        <v>36</v>
      </c>
    </row>
    <row r="35" spans="2:2">
      <c r="B35" s="1" t="s">
        <v>37</v>
      </c>
    </row>
    <row r="36" spans="2:2">
      <c r="B36" s="1" t="s">
        <v>63</v>
      </c>
    </row>
    <row r="37" spans="2:2">
      <c r="B37" s="1"/>
    </row>
  </sheetData>
  <mergeCells count="1">
    <mergeCell ref="B27:C27"/>
  </mergeCells>
  <phoneticPr fontId="7" type="noConversion"/>
  <pageMargins left="0.511811024" right="0.511811024" top="0.78740157499999996" bottom="0.78740157499999996" header="0.31496062000000002" footer="0.31496062000000002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9"/>
  <sheetViews>
    <sheetView zoomScale="70" zoomScaleNormal="70" workbookViewId="0"/>
  </sheetViews>
  <sheetFormatPr defaultRowHeight="15"/>
  <cols>
    <col min="1" max="1" width="16.5703125" bestFit="1" customWidth="1"/>
    <col min="2" max="2" width="48.42578125" bestFit="1" customWidth="1"/>
    <col min="3" max="5" width="39" bestFit="1" customWidth="1"/>
  </cols>
  <sheetData>
    <row r="1" spans="1:5" ht="15.75" thickBot="1">
      <c r="C1" s="197"/>
      <c r="D1" s="197"/>
      <c r="E1" s="197"/>
    </row>
    <row r="2" spans="1:5" ht="21.75" thickBot="1">
      <c r="B2" s="4"/>
      <c r="C2" s="29" t="s">
        <v>43</v>
      </c>
      <c r="D2" s="29" t="s">
        <v>44</v>
      </c>
      <c r="E2" s="30" t="s">
        <v>17</v>
      </c>
    </row>
    <row r="3" spans="1:5" ht="18.75">
      <c r="A3" s="303" t="s">
        <v>35</v>
      </c>
      <c r="B3" s="7" t="s">
        <v>79</v>
      </c>
      <c r="C3" s="37">
        <f>(321+192)/C78</f>
        <v>604.66760961810462</v>
      </c>
      <c r="D3" s="37">
        <f>(521+196)/C78</f>
        <v>845.12022630834508</v>
      </c>
      <c r="E3" s="49">
        <f>(254+229)/C78</f>
        <v>569.30693069306926</v>
      </c>
    </row>
    <row r="4" spans="1:5" ht="19.5" thickBot="1">
      <c r="A4" s="304" t="s">
        <v>35</v>
      </c>
      <c r="B4" s="8" t="s">
        <v>5</v>
      </c>
      <c r="C4" s="38">
        <f>'Arcelor and Mittal in detail'!C9</f>
        <v>18841.348420556344</v>
      </c>
      <c r="D4" s="38">
        <f>'Arcelor and Mittal in detail'!D9</f>
        <v>16784.535596416783</v>
      </c>
      <c r="E4" s="35">
        <f>'Arcelor and Mittal in detail'!E9</f>
        <v>16074.964639321075</v>
      </c>
    </row>
    <row r="5" spans="1:5" ht="18.75">
      <c r="A5" s="302"/>
      <c r="B5" s="8" t="s">
        <v>152</v>
      </c>
      <c r="C5" s="52">
        <f>'Arcelor and Mittal in detail'!C19</f>
        <v>8.2585278276481031E-2</v>
      </c>
      <c r="D5" s="52">
        <f>'Arcelor and Mittal in detail'!D19</f>
        <v>0.11228945726762318</v>
      </c>
      <c r="E5" s="191">
        <f>'Arcelor and Mittal in detail'!E19</f>
        <v>8.9209281369677845E-2</v>
      </c>
    </row>
    <row r="6" spans="1:5" ht="19.5" thickBot="1">
      <c r="A6" s="302"/>
      <c r="B6" s="9" t="s">
        <v>55</v>
      </c>
      <c r="C6" s="52">
        <f>IF((C3/C4)*(1-C5)&gt;C9,(C3/C4)*(1-C5),C9)</f>
        <v>4.2500000000000003E-2</v>
      </c>
      <c r="D6" s="52">
        <f>IF((D3/D4)*(1-D5)&gt;D9,(D3/D4)*(1-D5),D9)</f>
        <v>4.4697223254151278E-2</v>
      </c>
      <c r="E6" s="191">
        <f>IF((E3/E4)*(1-E5)&gt;E9,(E3/E4)*(1-E5),E9)</f>
        <v>4.3900000000000002E-2</v>
      </c>
    </row>
    <row r="7" spans="1:5" ht="18.75">
      <c r="A7" s="306" t="s">
        <v>35</v>
      </c>
      <c r="B7" s="10" t="s">
        <v>57</v>
      </c>
      <c r="C7" s="39">
        <f>C4</f>
        <v>18841.348420556344</v>
      </c>
      <c r="D7" s="39">
        <f>D4</f>
        <v>16784.535596416783</v>
      </c>
      <c r="E7" s="147">
        <f>E4</f>
        <v>16074.964639321075</v>
      </c>
    </row>
    <row r="8" spans="1:5" ht="19.5" thickBot="1">
      <c r="A8" s="307" t="s">
        <v>35</v>
      </c>
      <c r="B8" s="11" t="s">
        <v>56</v>
      </c>
      <c r="C8" s="40">
        <f>'Arcelor and Mittal in detail'!C13</f>
        <v>9141.6531500000001</v>
      </c>
      <c r="D8" s="40">
        <f>'Arcelor and Mittal in detail'!D13</f>
        <v>14650.8246</v>
      </c>
      <c r="E8" s="148">
        <f>'Arcelor and Mittal in detail'!E13</f>
        <v>15642.4743</v>
      </c>
    </row>
    <row r="9" spans="1:5" ht="19.5" thickBot="1">
      <c r="A9" s="305"/>
      <c r="B9" s="12" t="s">
        <v>155</v>
      </c>
      <c r="C9" s="53">
        <v>4.2500000000000003E-2</v>
      </c>
      <c r="D9" s="53">
        <v>4.2200000000000001E-2</v>
      </c>
      <c r="E9" s="198">
        <v>4.3900000000000002E-2</v>
      </c>
    </row>
    <row r="10" spans="1:5" ht="18.75">
      <c r="A10" s="302"/>
      <c r="B10" s="101" t="s">
        <v>156</v>
      </c>
      <c r="C10" s="62">
        <v>5.5E-2</v>
      </c>
      <c r="D10" s="62">
        <v>5.5E-2</v>
      </c>
      <c r="E10" s="161">
        <v>5.5E-2</v>
      </c>
    </row>
    <row r="11" spans="1:5" ht="18.75">
      <c r="B11" s="104" t="s">
        <v>157</v>
      </c>
      <c r="C11" s="190">
        <v>0.63</v>
      </c>
      <c r="D11" s="190">
        <v>0.74</v>
      </c>
      <c r="E11" s="192">
        <v>0.91</v>
      </c>
    </row>
    <row r="12" spans="1:5" ht="18.75">
      <c r="B12" s="104" t="s">
        <v>61</v>
      </c>
      <c r="C12" s="190">
        <f>C11*(1+C7/C8*(1-C5))</f>
        <v>1.8212241675269154</v>
      </c>
      <c r="D12" s="190">
        <f>D11*(1+D7/D8*(1-D5))</f>
        <v>1.492575988850243</v>
      </c>
      <c r="E12" s="192">
        <f>E11*(1+E7/E8*(1-E5))</f>
        <v>1.7617351389979192</v>
      </c>
    </row>
    <row r="13" spans="1:5" ht="18.75">
      <c r="B13" s="104" t="s">
        <v>65</v>
      </c>
      <c r="C13" s="62">
        <f>C9+C12*C10</f>
        <v>0.14266732921398034</v>
      </c>
      <c r="D13" s="62">
        <f>D9+D12*D10</f>
        <v>0.12429167938676337</v>
      </c>
      <c r="E13" s="161">
        <f>E9+E12*E10</f>
        <v>0.14079543264488556</v>
      </c>
    </row>
    <row r="14" spans="1:5" ht="19.5" thickBot="1">
      <c r="B14" s="108" t="s">
        <v>41</v>
      </c>
      <c r="C14" s="173">
        <f>C13*C8/(C7+C8)+C6*(C7/(C7+C8))</f>
        <v>7.5223258022454706E-2</v>
      </c>
      <c r="D14" s="173">
        <f>D13*D8/(D7+D8)+D6*(D7/(D7+D8))</f>
        <v>8.1793168986760284E-2</v>
      </c>
      <c r="E14" s="174">
        <f>E13*E8/(E7+E8)+E6*(E7/(E7+E8))</f>
        <v>9.1687096487666389E-2</v>
      </c>
    </row>
    <row r="15" spans="1:5">
      <c r="C15" s="197"/>
      <c r="D15" s="197"/>
      <c r="E15" s="197"/>
    </row>
    <row r="16" spans="1:5" ht="15.75" thickBot="1">
      <c r="C16" s="197"/>
      <c r="D16" s="197"/>
      <c r="E16" s="197"/>
    </row>
    <row r="17" spans="1:5" ht="21.75" thickBot="1">
      <c r="B17" s="4"/>
      <c r="C17" s="29" t="s">
        <v>45</v>
      </c>
      <c r="D17" s="29" t="s">
        <v>46</v>
      </c>
      <c r="E17" s="29" t="s">
        <v>18</v>
      </c>
    </row>
    <row r="18" spans="1:5" ht="18.75">
      <c r="A18" s="303" t="s">
        <v>35</v>
      </c>
      <c r="B18" s="18" t="s">
        <v>79</v>
      </c>
      <c r="C18" s="37">
        <f>131+25</f>
        <v>156</v>
      </c>
      <c r="D18" s="37">
        <f>207+78</f>
        <v>285</v>
      </c>
      <c r="E18" s="49">
        <f>189+110</f>
        <v>299</v>
      </c>
    </row>
    <row r="19" spans="1:5" ht="19.5" thickBot="1">
      <c r="A19" s="304" t="s">
        <v>35</v>
      </c>
      <c r="B19" s="19" t="s">
        <v>5</v>
      </c>
      <c r="C19" s="38">
        <f>'Arcelor and Mittal in detail'!C33</f>
        <v>6415</v>
      </c>
      <c r="D19" s="38">
        <f>'Arcelor and Mittal in detail'!D33</f>
        <v>8930</v>
      </c>
      <c r="E19" s="35">
        <f>'Arcelor and Mittal in detail'!E33</f>
        <v>16909</v>
      </c>
    </row>
    <row r="20" spans="1:5" ht="18.75">
      <c r="A20" s="302"/>
      <c r="B20" s="19" t="s">
        <v>152</v>
      </c>
      <c r="C20" s="52">
        <f>'Arcelor and Mittal in detail'!C43</f>
        <v>0.03</v>
      </c>
      <c r="D20" s="52">
        <f>'Arcelor and Mittal in detail'!D43</f>
        <v>0.11919126039458666</v>
      </c>
      <c r="E20" s="191">
        <f>'Arcelor and Mittal in detail'!E43</f>
        <v>0.14097384648096958</v>
      </c>
    </row>
    <row r="21" spans="1:5" ht="19.5" thickBot="1">
      <c r="A21" s="302"/>
      <c r="B21" s="20" t="s">
        <v>55</v>
      </c>
      <c r="C21" s="52">
        <f>IF((C18/C19)*(1-C20)&gt;C24,(C18/C19)*(1-C20),C24)</f>
        <v>4.2500000000000003E-2</v>
      </c>
      <c r="D21" s="52">
        <f>IF((D18/D19)*(1-D20)&gt;D24,(D18/D19)*(1-D20),D24)</f>
        <v>4.2200000000000001E-2</v>
      </c>
      <c r="E21" s="191">
        <f>IF((E18/E19)*(1-E20)&gt;E24,(E18/E19)*(1-E20),E24)</f>
        <v>4.3900000000000002E-2</v>
      </c>
    </row>
    <row r="22" spans="1:5" ht="18.75">
      <c r="A22" s="306" t="s">
        <v>35</v>
      </c>
      <c r="B22" s="10" t="s">
        <v>57</v>
      </c>
      <c r="C22" s="39">
        <f>C19</f>
        <v>6415</v>
      </c>
      <c r="D22" s="39">
        <f>D19</f>
        <v>8930</v>
      </c>
      <c r="E22" s="147">
        <f>E19</f>
        <v>16909</v>
      </c>
    </row>
    <row r="23" spans="1:5" ht="19.5" thickBot="1">
      <c r="A23" s="307" t="s">
        <v>35</v>
      </c>
      <c r="B23" s="11" t="s">
        <v>56</v>
      </c>
      <c r="C23" s="40">
        <f>'Arcelor and Mittal in detail'!C37</f>
        <v>5736.5615362999997</v>
      </c>
      <c r="D23" s="40">
        <f>'Arcelor and Mittal in detail'!D37</f>
        <v>24843.248338999998</v>
      </c>
      <c r="E23" s="148">
        <f>'Arcelor and Mittal in detail'!E37</f>
        <v>18772.78973</v>
      </c>
    </row>
    <row r="24" spans="1:5" ht="19.5" thickBot="1">
      <c r="A24" s="302"/>
      <c r="B24" s="12" t="s">
        <v>155</v>
      </c>
      <c r="C24" s="53">
        <v>4.2500000000000003E-2</v>
      </c>
      <c r="D24" s="53">
        <v>4.2200000000000001E-2</v>
      </c>
      <c r="E24" s="198">
        <v>4.3900000000000002E-2</v>
      </c>
    </row>
    <row r="25" spans="1:5" ht="18.75">
      <c r="B25" s="59" t="s">
        <v>156</v>
      </c>
      <c r="C25" s="62">
        <v>5.5E-2</v>
      </c>
      <c r="D25" s="62">
        <v>5.5E-2</v>
      </c>
      <c r="E25" s="161">
        <v>5.5E-2</v>
      </c>
    </row>
    <row r="26" spans="1:5" ht="18.75">
      <c r="B26" s="59" t="s">
        <v>157</v>
      </c>
      <c r="C26" s="190">
        <v>0.63</v>
      </c>
      <c r="D26" s="190">
        <v>0.74</v>
      </c>
      <c r="E26" s="192">
        <v>0.91</v>
      </c>
    </row>
    <row r="27" spans="1:5" ht="18.75">
      <c r="B27" s="59" t="s">
        <v>61</v>
      </c>
      <c r="C27" s="190">
        <f>C26*(1+C22/C23*(1-C20))</f>
        <v>1.313372169058693</v>
      </c>
      <c r="D27" s="190">
        <f>D26*(1+D22/D23*(1-D20))</f>
        <v>0.9742914353886295</v>
      </c>
      <c r="E27" s="192">
        <f>E26*(1+E22/E23*(1-E20))</f>
        <v>1.6141041224705865</v>
      </c>
    </row>
    <row r="28" spans="1:5" ht="18.75">
      <c r="B28" s="59" t="s">
        <v>65</v>
      </c>
      <c r="C28" s="62">
        <f>C24+C27*C25</f>
        <v>0.11473546929822812</v>
      </c>
      <c r="D28" s="62">
        <f>D24+D27*D25</f>
        <v>9.5786028946374627E-2</v>
      </c>
      <c r="E28" s="161">
        <f>E24+E27*E25</f>
        <v>0.13267572673588227</v>
      </c>
    </row>
    <row r="29" spans="1:5" ht="19.5" thickBot="1">
      <c r="B29" s="60" t="s">
        <v>41</v>
      </c>
      <c r="C29" s="173">
        <f>C28*C23/(C22+C23)+C21*(C22/(C22+C23))</f>
        <v>7.6601231639647313E-2</v>
      </c>
      <c r="D29" s="173">
        <f>D28*D23/(D22+D23)+D21*(D22/(D22+D23))</f>
        <v>8.161732258778176E-2</v>
      </c>
      <c r="E29" s="174">
        <f>E28*E23/(E22+E23)+E21*(E22/(E22+E23))</f>
        <v>9.0606403007006814E-2</v>
      </c>
    </row>
    <row r="30" spans="1:5">
      <c r="C30" s="197"/>
      <c r="D30" s="197"/>
      <c r="E30" s="197"/>
    </row>
    <row r="31" spans="1:5" ht="15.75" thickBot="1">
      <c r="C31" s="197"/>
      <c r="D31" s="197"/>
      <c r="E31" s="197"/>
    </row>
    <row r="32" spans="1:5" ht="21.75" thickBot="1">
      <c r="B32" s="4"/>
      <c r="C32" s="29" t="s">
        <v>39</v>
      </c>
      <c r="D32" s="29" t="s">
        <v>40</v>
      </c>
      <c r="E32" s="29" t="s">
        <v>33</v>
      </c>
    </row>
    <row r="33" spans="1:5" ht="19.5" thickBot="1">
      <c r="B33" s="18" t="s">
        <v>105</v>
      </c>
      <c r="C33" s="63">
        <f>C14</f>
        <v>7.5223258022454706E-2</v>
      </c>
      <c r="D33" s="63">
        <f>D14</f>
        <v>8.1793168986760284E-2</v>
      </c>
      <c r="E33" s="193">
        <f>E14</f>
        <v>9.1687096487666389E-2</v>
      </c>
    </row>
    <row r="34" spans="1:5" ht="19.5" thickBot="1">
      <c r="A34" s="134" t="s">
        <v>35</v>
      </c>
      <c r="B34" s="19" t="s">
        <v>107</v>
      </c>
      <c r="C34" s="38">
        <f>C7+C8</f>
        <v>27983.001570556342</v>
      </c>
      <c r="D34" s="38">
        <f>D7+D8</f>
        <v>31435.360196416783</v>
      </c>
      <c r="E34" s="35">
        <f>E7+E8</f>
        <v>31717.438939321073</v>
      </c>
    </row>
    <row r="35" spans="1:5" ht="19.5" thickBot="1">
      <c r="B35" s="21" t="s">
        <v>106</v>
      </c>
      <c r="C35" s="64">
        <f>C29</f>
        <v>7.6601231639647313E-2</v>
      </c>
      <c r="D35" s="64">
        <f>D29</f>
        <v>8.161732258778176E-2</v>
      </c>
      <c r="E35" s="94">
        <f>E29</f>
        <v>9.0606403007006814E-2</v>
      </c>
    </row>
    <row r="36" spans="1:5" ht="19.5" thickBot="1">
      <c r="A36" s="141" t="s">
        <v>35</v>
      </c>
      <c r="B36" s="22" t="s">
        <v>108</v>
      </c>
      <c r="C36" s="41">
        <f>C22+C23</f>
        <v>12151.5615363</v>
      </c>
      <c r="D36" s="41">
        <f>D22+D23</f>
        <v>33773.248338999998</v>
      </c>
      <c r="E36" s="149">
        <f>E22+E23</f>
        <v>35681.789730000004</v>
      </c>
    </row>
    <row r="37" spans="1:5" ht="19.5" thickBot="1">
      <c r="B37" s="60" t="s">
        <v>109</v>
      </c>
      <c r="C37" s="173">
        <f>C33*C34/(C34+C36)+C35*C36/(C34+C36)</f>
        <v>7.5640467776554504E-2</v>
      </c>
      <c r="D37" s="173">
        <f>D33*D34/(D34+D36)+D35*D36/(D34+D36)</f>
        <v>8.1702093525473682E-2</v>
      </c>
      <c r="E37" s="174">
        <f>E33*E34/(E34+E36)+E35*E36/(E34+E36)</f>
        <v>9.1114967128016477E-2</v>
      </c>
    </row>
    <row r="38" spans="1:5">
      <c r="C38" s="197"/>
      <c r="D38" s="197"/>
      <c r="E38" s="197"/>
    </row>
    <row r="39" spans="1:5" ht="15.75" thickBot="1">
      <c r="C39" s="197"/>
      <c r="D39" s="197"/>
      <c r="E39" s="197"/>
    </row>
    <row r="40" spans="1:5" ht="21.75" thickBot="1">
      <c r="B40" s="4"/>
      <c r="C40" s="29" t="s">
        <v>58</v>
      </c>
      <c r="D40" s="29" t="s">
        <v>59</v>
      </c>
      <c r="E40" s="29" t="s">
        <v>60</v>
      </c>
    </row>
    <row r="41" spans="1:5" ht="18.75">
      <c r="A41" s="303" t="s">
        <v>35</v>
      </c>
      <c r="B41" s="7" t="s">
        <v>79</v>
      </c>
      <c r="C41" s="37">
        <f>654+251</f>
        <v>905</v>
      </c>
      <c r="D41" s="37">
        <f>927+577</f>
        <v>1504</v>
      </c>
      <c r="E41" s="49">
        <f>2352+497</f>
        <v>2849</v>
      </c>
    </row>
    <row r="42" spans="1:5" ht="19.5" thickBot="1">
      <c r="A42" s="304" t="s">
        <v>35</v>
      </c>
      <c r="B42" s="8" t="s">
        <v>5</v>
      </c>
      <c r="C42" s="38">
        <f>'New company requested data'!C9</f>
        <v>56307</v>
      </c>
      <c r="D42" s="38">
        <f>'New company requested data'!D9</f>
        <v>63985</v>
      </c>
      <c r="E42" s="35">
        <f>'New company requested data'!E9</f>
        <v>66280</v>
      </c>
    </row>
    <row r="43" spans="1:5" ht="18.75">
      <c r="A43" s="302"/>
      <c r="B43" s="8" t="s">
        <v>152</v>
      </c>
      <c r="C43" s="52">
        <f>'New company requested data'!C19</f>
        <v>0.17529053680132817</v>
      </c>
      <c r="D43" s="52">
        <f>'New company requested data'!D19</f>
        <v>0.17087587318645889</v>
      </c>
      <c r="E43" s="191">
        <f>'New company requested data'!E19</f>
        <v>0.21617404871283696</v>
      </c>
    </row>
    <row r="44" spans="1:5" ht="19.5" thickBot="1">
      <c r="A44" s="302"/>
      <c r="B44" s="9" t="s">
        <v>55</v>
      </c>
      <c r="C44" s="52">
        <f>IF((C41/C42)*(1-C43)&gt;C47,(C41/C42)*(1-C43),C47)</f>
        <v>4.7E-2</v>
      </c>
      <c r="D44" s="52">
        <f>IF((D41/D42)*(1-D43)&gt;D47,(D41/D42)*(1-D43),D47)</f>
        <v>4.02E-2</v>
      </c>
      <c r="E44" s="195">
        <f>IF((E41/E42)*(1-E43)&gt;E47,(E41/E42)*(1-E43),E47)</f>
        <v>3.3692216886196856E-2</v>
      </c>
    </row>
    <row r="45" spans="1:5" ht="18.75">
      <c r="A45" s="135" t="s">
        <v>35</v>
      </c>
      <c r="B45" s="10" t="s">
        <v>57</v>
      </c>
      <c r="C45" s="39">
        <f>C42</f>
        <v>56307</v>
      </c>
      <c r="D45" s="39">
        <f>D42</f>
        <v>63985</v>
      </c>
      <c r="E45" s="147">
        <f>E42</f>
        <v>66280</v>
      </c>
    </row>
    <row r="46" spans="1:5" ht="19.5" thickBot="1">
      <c r="A46" s="137" t="s">
        <v>35</v>
      </c>
      <c r="B46" s="11" t="s">
        <v>56</v>
      </c>
      <c r="C46" s="40">
        <f>'New company requested data'!C13</f>
        <v>58430.642202000003</v>
      </c>
      <c r="D46" s="40">
        <f>'New company requested data'!D13</f>
        <v>109958.48590999999</v>
      </c>
      <c r="E46" s="148">
        <f>'New company requested data'!E13</f>
        <v>33589.995819299998</v>
      </c>
    </row>
    <row r="47" spans="1:5" ht="19.5" thickBot="1">
      <c r="A47" s="305"/>
      <c r="B47" s="12" t="s">
        <v>155</v>
      </c>
      <c r="C47" s="53">
        <v>4.7E-2</v>
      </c>
      <c r="D47" s="53">
        <v>4.02E-2</v>
      </c>
      <c r="E47" s="198">
        <v>2.2100000000000002E-2</v>
      </c>
    </row>
    <row r="48" spans="1:5" ht="18.75">
      <c r="B48" s="59" t="s">
        <v>156</v>
      </c>
      <c r="C48" s="125">
        <v>5.5E-2</v>
      </c>
      <c r="D48" s="125">
        <v>5.5E-2</v>
      </c>
      <c r="E48" s="126">
        <v>5.5E-2</v>
      </c>
    </row>
    <row r="49" spans="2:6" ht="21">
      <c r="B49" s="59" t="s">
        <v>157</v>
      </c>
      <c r="C49" s="190">
        <v>1.1299999999999999</v>
      </c>
      <c r="D49" s="190">
        <v>1.59</v>
      </c>
      <c r="E49" s="192">
        <v>1.53</v>
      </c>
      <c r="F49" s="55"/>
    </row>
    <row r="50" spans="2:6" ht="18.75">
      <c r="B50" s="59" t="s">
        <v>61</v>
      </c>
      <c r="C50" s="190">
        <f>C49*(1+C45/C46*(1-C43))</f>
        <v>2.0280513102985216</v>
      </c>
      <c r="D50" s="190">
        <f>D49*(1+D45/D46*(1-D43))</f>
        <v>2.3571249366161946</v>
      </c>
      <c r="E50" s="192">
        <f>E49*(1+E45/E46*(1-E43))</f>
        <v>3.8963752751299277</v>
      </c>
    </row>
    <row r="51" spans="2:6" ht="18.75">
      <c r="B51" s="59" t="s">
        <v>65</v>
      </c>
      <c r="C51" s="62">
        <f>C47+C50*C48</f>
        <v>0.15854282206641868</v>
      </c>
      <c r="D51" s="62">
        <f>D47+D50*D48</f>
        <v>0.16984187151389069</v>
      </c>
      <c r="E51" s="161">
        <f>E47+E50*E48</f>
        <v>0.23640064013214604</v>
      </c>
    </row>
    <row r="52" spans="2:6" ht="19.5" thickBot="1">
      <c r="B52" s="59" t="s">
        <v>41</v>
      </c>
      <c r="C52" s="173">
        <f>C51*C46/(C45+C46)+C44*(C45/(C45+C46))</f>
        <v>0.10380366618384854</v>
      </c>
      <c r="D52" s="173">
        <f>D51*D46/(D45+D46)+D44*(D45/(D45+D46))</f>
        <v>0.12215319202457495</v>
      </c>
      <c r="E52" s="174">
        <f>E51*E46/(E45+E46)+E44*(E45/(E45+E46))</f>
        <v>0.10187060253155286</v>
      </c>
    </row>
    <row r="53" spans="2:6" ht="18.75">
      <c r="B53" s="289" t="s">
        <v>187</v>
      </c>
      <c r="C53" s="290">
        <f>($C$26+$D$26+$E$26)/3</f>
        <v>0.76000000000000012</v>
      </c>
      <c r="D53" s="291">
        <f>($C$26+$D$26+$E$26)/3</f>
        <v>0.76000000000000012</v>
      </c>
      <c r="E53" s="292">
        <f>($C$26+$D$26+$E$26)/3</f>
        <v>0.76000000000000012</v>
      </c>
    </row>
    <row r="54" spans="2:6" ht="18.75">
      <c r="B54" s="293" t="s">
        <v>188</v>
      </c>
      <c r="C54" s="294">
        <f>C53*(1+C45/C46*(1-C43))</f>
        <v>1.3639991113512182</v>
      </c>
      <c r="D54" s="291">
        <f>D53*(1+D45/D46*(1-D43))</f>
        <v>1.1266760703322691</v>
      </c>
      <c r="E54" s="295">
        <f>E53*(1+E45/E46*(1-E43))</f>
        <v>1.9354543850318597</v>
      </c>
    </row>
    <row r="55" spans="2:6" ht="18.75">
      <c r="B55" s="293" t="s">
        <v>189</v>
      </c>
      <c r="C55" s="296">
        <f>C47+C54*C48</f>
        <v>0.122019951124317</v>
      </c>
      <c r="D55" s="297">
        <f>D47+D54*D48</f>
        <v>0.10216718386827481</v>
      </c>
      <c r="E55" s="298">
        <f>E47+E54*E48</f>
        <v>0.12854999117675228</v>
      </c>
    </row>
    <row r="56" spans="2:6" ht="19.5" thickBot="1">
      <c r="B56" s="275" t="s">
        <v>190</v>
      </c>
      <c r="C56" s="299">
        <f>C55*C46/(C45+C46)+C44*(C45/(C45+C46))</f>
        <v>8.5204235663473363E-2</v>
      </c>
      <c r="D56" s="300">
        <f>D55*D46/(D45+D46)+D44*(D45/(D45+D46))</f>
        <v>7.9372594929985524E-2</v>
      </c>
      <c r="E56" s="301">
        <f>E55*E46/(E45+E46)+E44*(E45/(E45+E46))</f>
        <v>6.5596416097468954E-2</v>
      </c>
    </row>
    <row r="59" spans="2:6">
      <c r="B59" s="196" t="s">
        <v>235</v>
      </c>
    </row>
    <row r="60" spans="2:6">
      <c r="B60" s="142" t="s">
        <v>154</v>
      </c>
    </row>
    <row r="61" spans="2:6">
      <c r="B61" s="142" t="s">
        <v>158</v>
      </c>
    </row>
    <row r="62" spans="2:6">
      <c r="B62" s="418" t="s">
        <v>191</v>
      </c>
      <c r="C62" s="419"/>
    </row>
    <row r="63" spans="2:6">
      <c r="B63" s="142"/>
    </row>
    <row r="64" spans="2:6">
      <c r="B64" s="142"/>
    </row>
    <row r="65" spans="2:4" ht="18.75">
      <c r="B65" s="144" t="s">
        <v>147</v>
      </c>
    </row>
    <row r="66" spans="2:4">
      <c r="B66" s="419" t="s">
        <v>159</v>
      </c>
      <c r="C66" s="419"/>
    </row>
    <row r="67" spans="2:4">
      <c r="B67" s="419" t="s">
        <v>160</v>
      </c>
      <c r="C67" s="419"/>
    </row>
    <row r="68" spans="2:4">
      <c r="B68" s="1" t="s">
        <v>26</v>
      </c>
    </row>
    <row r="69" spans="2:4">
      <c r="B69" s="1" t="s">
        <v>36</v>
      </c>
    </row>
    <row r="70" spans="2:4">
      <c r="B70" s="1" t="s">
        <v>37</v>
      </c>
    </row>
    <row r="71" spans="2:4">
      <c r="B71" s="1" t="s">
        <v>63</v>
      </c>
    </row>
    <row r="72" spans="2:4">
      <c r="B72" s="1" t="s">
        <v>161</v>
      </c>
    </row>
    <row r="73" spans="2:4">
      <c r="B73" s="1"/>
    </row>
    <row r="74" spans="2:4" ht="15.75" thickBot="1"/>
    <row r="75" spans="2:4">
      <c r="B75" s="187" t="s">
        <v>50</v>
      </c>
      <c r="C75" s="177">
        <v>117.47</v>
      </c>
      <c r="D75" s="178">
        <v>38807</v>
      </c>
    </row>
    <row r="76" spans="2:4">
      <c r="B76" s="188" t="s">
        <v>50</v>
      </c>
      <c r="C76" s="179">
        <v>117.87</v>
      </c>
      <c r="D76" s="180">
        <v>38717</v>
      </c>
    </row>
    <row r="77" spans="2:4">
      <c r="B77" s="188" t="s">
        <v>51</v>
      </c>
      <c r="C77" s="179">
        <v>1020.73</v>
      </c>
      <c r="D77" s="180">
        <v>38717</v>
      </c>
    </row>
    <row r="78" spans="2:4">
      <c r="B78" s="188" t="s">
        <v>52</v>
      </c>
      <c r="C78" s="181">
        <v>0.84840000000000004</v>
      </c>
      <c r="D78" s="180">
        <v>38717</v>
      </c>
    </row>
    <row r="79" spans="2:4" ht="15.75" thickBot="1">
      <c r="B79" s="189" t="s">
        <v>53</v>
      </c>
      <c r="C79" s="182">
        <v>0.58130000000000004</v>
      </c>
      <c r="D79" s="183">
        <v>38717</v>
      </c>
    </row>
  </sheetData>
  <mergeCells count="3">
    <mergeCell ref="B66:C66"/>
    <mergeCell ref="B67:C67"/>
    <mergeCell ref="B62:C62"/>
  </mergeCells>
  <phoneticPr fontId="7" type="noConversion"/>
  <hyperlinks>
    <hyperlink ref="B68" r:id="rId1" display="www.damodaran.com"/>
  </hyperlinks>
  <pageMargins left="0.511811024" right="0.511811024" top="0.78740157499999996" bottom="0.78740157499999996" header="0.31496062000000002" footer="0.31496062000000002"/>
  <pageSetup paperSize="9" scale="43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3"/>
  <sheetViews>
    <sheetView zoomScale="55" zoomScaleNormal="55" workbookViewId="0"/>
  </sheetViews>
  <sheetFormatPr defaultRowHeight="15"/>
  <cols>
    <col min="2" max="2" width="35.42578125" bestFit="1" customWidth="1"/>
    <col min="3" max="6" width="30.5703125" bestFit="1" customWidth="1"/>
    <col min="7" max="10" width="30.5703125" customWidth="1"/>
  </cols>
  <sheetData>
    <row r="1" spans="2:10" ht="15.75" thickBot="1"/>
    <row r="2" spans="2:10" ht="23.25">
      <c r="B2" s="67"/>
      <c r="C2" s="225" t="s">
        <v>87</v>
      </c>
      <c r="D2" s="226" t="s">
        <v>88</v>
      </c>
    </row>
    <row r="3" spans="2:10" ht="18.75">
      <c r="B3" s="68"/>
      <c r="C3" s="65" t="s">
        <v>89</v>
      </c>
      <c r="D3" s="66" t="s">
        <v>90</v>
      </c>
    </row>
    <row r="4" spans="2:10" ht="18.75">
      <c r="B4" s="69" t="s">
        <v>91</v>
      </c>
      <c r="C4" s="73">
        <v>172.2</v>
      </c>
      <c r="D4" s="79">
        <f>3.37185452003603/100</f>
        <v>3.37185452003603E-2</v>
      </c>
    </row>
    <row r="5" spans="2:10" ht="21">
      <c r="B5" s="69" t="s">
        <v>92</v>
      </c>
      <c r="C5" s="73">
        <v>177.1</v>
      </c>
      <c r="D5" s="79">
        <f t="shared" ref="D5:D18" si="0">+C5/C4-1</f>
        <v>2.8455284552845628E-2</v>
      </c>
      <c r="F5" s="231" t="s">
        <v>176</v>
      </c>
      <c r="I5" s="231" t="s">
        <v>177</v>
      </c>
    </row>
    <row r="6" spans="2:10" ht="19.5" thickBot="1">
      <c r="B6" s="69" t="s">
        <v>93</v>
      </c>
      <c r="C6" s="73">
        <v>179.9</v>
      </c>
      <c r="D6" s="79">
        <f>+C6/C5-1</f>
        <v>1.5810276679842028E-2</v>
      </c>
    </row>
    <row r="7" spans="2:10" ht="23.25">
      <c r="B7" s="69" t="s">
        <v>94</v>
      </c>
      <c r="C7" s="73">
        <v>184</v>
      </c>
      <c r="D7" s="79">
        <f t="shared" si="0"/>
        <v>2.2790439132851503E-2</v>
      </c>
      <c r="F7" s="232" t="s">
        <v>174</v>
      </c>
      <c r="G7" s="226" t="s">
        <v>175</v>
      </c>
      <c r="H7" s="228"/>
    </row>
    <row r="8" spans="2:10" ht="18.75">
      <c r="B8" s="70" t="s">
        <v>95</v>
      </c>
      <c r="C8" s="73">
        <v>188.9</v>
      </c>
      <c r="D8" s="79">
        <f t="shared" si="0"/>
        <v>2.6630434782608736E-2</v>
      </c>
      <c r="F8" s="233">
        <f>C28</f>
        <v>8.1702093525473682E-2</v>
      </c>
      <c r="G8" s="79">
        <f>(1+F8)/(1+D8)-1</f>
        <v>5.3643119156628671E-2</v>
      </c>
      <c r="H8" s="227"/>
    </row>
    <row r="9" spans="2:10" ht="19.5" thickBot="1">
      <c r="B9" s="70" t="s">
        <v>96</v>
      </c>
      <c r="C9" s="73">
        <v>195.3</v>
      </c>
      <c r="D9" s="79">
        <f t="shared" si="0"/>
        <v>3.3880359978824881E-2</v>
      </c>
      <c r="F9" s="233">
        <f>D28</f>
        <v>9.1114967128016477E-2</v>
      </c>
      <c r="G9" s="79">
        <f>(1+F9)/(1+D9)-1</f>
        <v>5.5359023504773619E-2</v>
      </c>
      <c r="H9" s="227"/>
    </row>
    <row r="10" spans="2:10" ht="23.25">
      <c r="B10" s="70" t="s">
        <v>97</v>
      </c>
      <c r="C10" s="73">
        <v>201.6</v>
      </c>
      <c r="D10" s="79">
        <f t="shared" si="0"/>
        <v>3.2258064516129004E-2</v>
      </c>
      <c r="F10" s="233">
        <f>(1+G10)*(1+D10)-1</f>
        <v>8.8517234922014021E-2</v>
      </c>
      <c r="G10" s="79">
        <f>(G8+G9)/2</f>
        <v>5.4501071330701145E-2</v>
      </c>
      <c r="H10" s="227"/>
      <c r="I10" s="232" t="s">
        <v>174</v>
      </c>
      <c r="J10" s="226" t="s">
        <v>175</v>
      </c>
    </row>
    <row r="11" spans="2:10" ht="18.75">
      <c r="B11" s="70" t="s">
        <v>98</v>
      </c>
      <c r="C11" s="74">
        <v>207.34200000000001</v>
      </c>
      <c r="D11" s="79">
        <f t="shared" si="0"/>
        <v>2.84821428571429E-2</v>
      </c>
      <c r="F11" s="233">
        <f>(1+G11)*(1+D11)-1</f>
        <v>8.4535521487352216E-2</v>
      </c>
      <c r="G11" s="79">
        <f t="shared" ref="G11:G22" si="1">G10</f>
        <v>5.4501071330701145E-2</v>
      </c>
      <c r="H11" s="227"/>
      <c r="I11" s="233">
        <f>'WACC calculation'!D56</f>
        <v>7.9372594929985524E-2</v>
      </c>
      <c r="J11" s="79">
        <f>(1+I11)/(1+D11)-1</f>
        <v>4.9481123640579661E-2</v>
      </c>
    </row>
    <row r="12" spans="2:10" ht="18.75">
      <c r="B12" s="70" t="s">
        <v>99</v>
      </c>
      <c r="C12" s="74">
        <v>215.303</v>
      </c>
      <c r="D12" s="79">
        <f t="shared" si="0"/>
        <v>3.8395501152684863E-2</v>
      </c>
      <c r="F12" s="233">
        <f t="shared" ref="F12:F21" si="2">(1+G12)*(1+D12)-1</f>
        <v>9.4989168430486437E-2</v>
      </c>
      <c r="G12" s="79">
        <f t="shared" si="1"/>
        <v>5.4501071330701145E-2</v>
      </c>
      <c r="H12" s="227"/>
      <c r="I12" s="233">
        <f>'WACC calculation'!E56</f>
        <v>6.5596416097468954E-2</v>
      </c>
      <c r="J12" s="79">
        <f>(1+I12)/(1+D12)-1</f>
        <v>2.6195139438286663E-2</v>
      </c>
    </row>
    <row r="13" spans="2:10" ht="18.75">
      <c r="B13" s="71">
        <v>2009</v>
      </c>
      <c r="C13" s="75">
        <v>214.05000000000004</v>
      </c>
      <c r="D13" s="80">
        <f t="shared" si="0"/>
        <v>-5.8197052525973403E-3</v>
      </c>
      <c r="F13" s="234">
        <f t="shared" si="2"/>
        <v>4.8364185907008306E-2</v>
      </c>
      <c r="G13" s="80">
        <f t="shared" si="1"/>
        <v>5.4501071330701145E-2</v>
      </c>
      <c r="H13" s="227"/>
      <c r="I13" s="234">
        <f>(1+J13)*(1+D13)-1</f>
        <v>3.1798219513967219E-2</v>
      </c>
      <c r="J13" s="80">
        <f>(J11+J12)/2</f>
        <v>3.7838131539433162E-2</v>
      </c>
    </row>
    <row r="14" spans="2:10" ht="18.75">
      <c r="B14" s="71">
        <v>2010</v>
      </c>
      <c r="C14" s="75">
        <v>218.04999999999998</v>
      </c>
      <c r="D14" s="80">
        <f t="shared" si="0"/>
        <v>1.86872226115391E-2</v>
      </c>
      <c r="F14" s="234">
        <f t="shared" si="2"/>
        <v>7.4206767594764411E-2</v>
      </c>
      <c r="G14" s="80">
        <f t="shared" si="1"/>
        <v>5.4501071330701145E-2</v>
      </c>
      <c r="H14" s="227"/>
      <c r="I14" s="234">
        <f t="shared" ref="I14:I22" si="3">(1+J14)*(1+D14)-1</f>
        <v>5.7232443738254313E-2</v>
      </c>
      <c r="J14" s="80">
        <f t="shared" ref="J14:J22" si="4">J13</f>
        <v>3.7838131539433162E-2</v>
      </c>
    </row>
    <row r="15" spans="2:10" ht="18.75">
      <c r="B15" s="71">
        <v>2011</v>
      </c>
      <c r="C15" s="75">
        <v>222.62904999999998</v>
      </c>
      <c r="D15" s="80">
        <f t="shared" si="0"/>
        <v>2.0999999999999908E-2</v>
      </c>
      <c r="F15" s="234">
        <f t="shared" si="2"/>
        <v>7.6645593828645664E-2</v>
      </c>
      <c r="G15" s="80">
        <f t="shared" si="1"/>
        <v>5.4501071330701145E-2</v>
      </c>
      <c r="H15" s="227"/>
      <c r="I15" s="234">
        <f t="shared" si="3"/>
        <v>5.9632732301761138E-2</v>
      </c>
      <c r="J15" s="80">
        <f t="shared" si="4"/>
        <v>3.7838131539433162E-2</v>
      </c>
    </row>
    <row r="16" spans="2:10" ht="18.75">
      <c r="B16" s="71">
        <v>2012</v>
      </c>
      <c r="C16" s="75">
        <v>227.74951814999994</v>
      </c>
      <c r="D16" s="80">
        <f t="shared" si="0"/>
        <v>2.2999999999999909E-2</v>
      </c>
      <c r="F16" s="234">
        <f t="shared" si="2"/>
        <v>7.8754595971306962E-2</v>
      </c>
      <c r="G16" s="80">
        <f t="shared" si="1"/>
        <v>5.4501071330701145E-2</v>
      </c>
      <c r="H16" s="227"/>
      <c r="I16" s="234">
        <f t="shared" si="3"/>
        <v>6.1708408564840056E-2</v>
      </c>
      <c r="J16" s="80">
        <f t="shared" si="4"/>
        <v>3.7838131539433162E-2</v>
      </c>
    </row>
    <row r="17" spans="1:10" ht="18.75">
      <c r="B17" s="71">
        <v>2013</v>
      </c>
      <c r="C17" s="75">
        <v>233.21550658559991</v>
      </c>
      <c r="D17" s="80">
        <f t="shared" si="0"/>
        <v>2.3999999999999799E-2</v>
      </c>
      <c r="F17" s="234">
        <f t="shared" si="2"/>
        <v>7.9809097042637722E-2</v>
      </c>
      <c r="G17" s="80">
        <f t="shared" si="1"/>
        <v>5.4501071330701145E-2</v>
      </c>
      <c r="H17" s="227"/>
      <c r="I17" s="234">
        <f t="shared" si="3"/>
        <v>6.2746246696379293E-2</v>
      </c>
      <c r="J17" s="80">
        <f t="shared" si="4"/>
        <v>3.7838131539433162E-2</v>
      </c>
    </row>
    <row r="18" spans="1:10" ht="18.75">
      <c r="B18" s="71">
        <v>2014</v>
      </c>
      <c r="C18" s="75">
        <v>239.04589425024</v>
      </c>
      <c r="D18" s="80">
        <f t="shared" si="0"/>
        <v>2.5000000000000355E-2</v>
      </c>
      <c r="F18" s="234">
        <f t="shared" si="2"/>
        <v>8.0863598113968926E-2</v>
      </c>
      <c r="G18" s="80">
        <f t="shared" si="1"/>
        <v>5.4501071330701145E-2</v>
      </c>
      <c r="H18" s="227"/>
      <c r="I18" s="234">
        <f t="shared" si="3"/>
        <v>6.3784084827919418E-2</v>
      </c>
      <c r="J18" s="80">
        <f t="shared" si="4"/>
        <v>3.7838131539433162E-2</v>
      </c>
    </row>
    <row r="19" spans="1:10" ht="18.75">
      <c r="B19" s="71">
        <v>2015</v>
      </c>
      <c r="C19" s="75">
        <v>245.022041606496</v>
      </c>
      <c r="D19" s="80">
        <f>+C19/C18-1</f>
        <v>2.5000000000000133E-2</v>
      </c>
      <c r="F19" s="234">
        <f t="shared" si="2"/>
        <v>8.0863598113968704E-2</v>
      </c>
      <c r="G19" s="80">
        <f t="shared" si="1"/>
        <v>5.4501071330701145E-2</v>
      </c>
      <c r="H19" s="227"/>
      <c r="I19" s="234">
        <f t="shared" si="3"/>
        <v>6.3784084827919196E-2</v>
      </c>
      <c r="J19" s="80">
        <f t="shared" si="4"/>
        <v>3.7838131539433162E-2</v>
      </c>
    </row>
    <row r="20" spans="1:10" ht="18.75">
      <c r="B20" s="71">
        <v>2016</v>
      </c>
      <c r="C20" s="75">
        <v>251.1475926</v>
      </c>
      <c r="D20" s="80">
        <f>+C20/C19-1</f>
        <v>2.499999980957468E-2</v>
      </c>
      <c r="F20" s="234">
        <f t="shared" si="2"/>
        <v>8.0863597913164886E-2</v>
      </c>
      <c r="G20" s="80">
        <f t="shared" si="1"/>
        <v>5.4501071330701145E-2</v>
      </c>
      <c r="H20" s="227"/>
      <c r="I20" s="234">
        <f t="shared" si="3"/>
        <v>6.3784084630288396E-2</v>
      </c>
      <c r="J20" s="80">
        <f t="shared" si="4"/>
        <v>3.7838131539433162E-2</v>
      </c>
    </row>
    <row r="21" spans="1:10" ht="18.75">
      <c r="B21" s="71">
        <v>2017</v>
      </c>
      <c r="C21" s="75">
        <v>257.42628239999999</v>
      </c>
      <c r="D21" s="80">
        <f>+C21/C20-1</f>
        <v>2.4999999940274131E-2</v>
      </c>
      <c r="F21" s="234">
        <f t="shared" si="2"/>
        <v>8.0863598050987529E-2</v>
      </c>
      <c r="G21" s="80">
        <f t="shared" si="1"/>
        <v>5.4501071330701145E-2</v>
      </c>
      <c r="H21" s="227"/>
      <c r="I21" s="234">
        <f t="shared" si="3"/>
        <v>6.3784084765933224E-2</v>
      </c>
      <c r="J21" s="80">
        <f t="shared" si="4"/>
        <v>3.7838131539433162E-2</v>
      </c>
    </row>
    <row r="22" spans="1:10" ht="19.5" thickBot="1">
      <c r="B22" s="72">
        <v>2018</v>
      </c>
      <c r="C22" s="76">
        <v>263.86193950000001</v>
      </c>
      <c r="D22" s="81">
        <f>+C22/C21-1</f>
        <v>2.5000000155384283E-2</v>
      </c>
      <c r="F22" s="235">
        <f>(1+G22)*(1+D22)-1</f>
        <v>8.0863598277821414E-2</v>
      </c>
      <c r="G22" s="81">
        <f t="shared" si="1"/>
        <v>5.4501071330701145E-2</v>
      </c>
      <c r="I22" s="235">
        <f t="shared" si="3"/>
        <v>6.3784084989182643E-2</v>
      </c>
      <c r="J22" s="81">
        <f t="shared" si="4"/>
        <v>3.7838131539433162E-2</v>
      </c>
    </row>
    <row r="23" spans="1:10" ht="15.75">
      <c r="A23" s="77"/>
      <c r="B23" s="421" t="s">
        <v>137</v>
      </c>
      <c r="C23" s="421"/>
      <c r="D23" s="421"/>
      <c r="E23" s="421"/>
      <c r="F23" s="422"/>
      <c r="G23" s="419"/>
      <c r="H23" s="419"/>
      <c r="I23" s="419"/>
    </row>
    <row r="24" spans="1:10" ht="15" customHeight="1">
      <c r="A24" s="423"/>
      <c r="B24" s="423"/>
      <c r="C24" s="423"/>
      <c r="D24" s="423"/>
      <c r="E24" s="423"/>
    </row>
    <row r="25" spans="1:10" ht="21">
      <c r="A25" s="77"/>
      <c r="B25" s="82" t="s">
        <v>121</v>
      </c>
      <c r="C25" s="77"/>
      <c r="D25" s="77"/>
      <c r="E25" s="77"/>
    </row>
    <row r="26" spans="1:10" ht="15.75" thickBot="1">
      <c r="A26" s="423"/>
      <c r="B26" s="423"/>
      <c r="C26" s="423"/>
      <c r="D26" s="423"/>
      <c r="E26" s="423"/>
    </row>
    <row r="27" spans="1:10" ht="21.75" thickBot="1">
      <c r="B27" s="28"/>
      <c r="C27" s="29" t="s">
        <v>110</v>
      </c>
      <c r="D27" s="29" t="s">
        <v>111</v>
      </c>
      <c r="E27" s="29" t="s">
        <v>112</v>
      </c>
      <c r="F27" s="78" t="s">
        <v>113</v>
      </c>
      <c r="G27" s="29" t="s">
        <v>114</v>
      </c>
      <c r="H27" s="29" t="s">
        <v>115</v>
      </c>
    </row>
    <row r="28" spans="1:10" ht="19.5" thickBot="1">
      <c r="B28" s="220" t="s">
        <v>109</v>
      </c>
      <c r="C28" s="221">
        <f>'WACC calculation'!D37</f>
        <v>8.1702093525473682E-2</v>
      </c>
      <c r="D28" s="221">
        <f>'WACC calculation'!E37</f>
        <v>9.1114967128016477E-2</v>
      </c>
      <c r="E28" s="221">
        <f>F10</f>
        <v>8.8517234922014021E-2</v>
      </c>
      <c r="F28" s="221">
        <f>F11</f>
        <v>8.4535521487352216E-2</v>
      </c>
      <c r="G28" s="221">
        <f>F12</f>
        <v>9.4989168430486437E-2</v>
      </c>
      <c r="H28" s="222">
        <f>F13</f>
        <v>4.8364185907008306E-2</v>
      </c>
    </row>
    <row r="29" spans="1:10" ht="15.75" thickBot="1"/>
    <row r="30" spans="1:10" ht="21.75" thickBot="1">
      <c r="B30" s="4"/>
      <c r="C30" s="30" t="s">
        <v>116</v>
      </c>
      <c r="D30" s="30" t="s">
        <v>117</v>
      </c>
      <c r="E30" s="30" t="s">
        <v>118</v>
      </c>
      <c r="F30" s="223" t="s">
        <v>119</v>
      </c>
      <c r="G30" s="223" t="s">
        <v>120</v>
      </c>
      <c r="H30" s="29" t="s">
        <v>123</v>
      </c>
    </row>
    <row r="31" spans="1:10" ht="19.5" thickBot="1">
      <c r="B31" s="220" t="s">
        <v>109</v>
      </c>
      <c r="C31" s="221">
        <f>F14</f>
        <v>7.4206767594764411E-2</v>
      </c>
      <c r="D31" s="221">
        <f>F15</f>
        <v>7.6645593828645664E-2</v>
      </c>
      <c r="E31" s="221">
        <f>F16</f>
        <v>7.8754595971306962E-2</v>
      </c>
      <c r="F31" s="221">
        <f>F17</f>
        <v>7.9809097042637722E-2</v>
      </c>
      <c r="G31" s="221">
        <f>F18</f>
        <v>8.0863598113968926E-2</v>
      </c>
      <c r="H31" s="222">
        <f>F19</f>
        <v>8.0863598113968704E-2</v>
      </c>
    </row>
    <row r="32" spans="1:10" ht="15.75" thickBot="1"/>
    <row r="33" spans="2:8" ht="21.75" thickBot="1">
      <c r="B33" s="4"/>
      <c r="C33" s="30" t="s">
        <v>192</v>
      </c>
      <c r="D33" s="30" t="s">
        <v>193</v>
      </c>
      <c r="E33" s="30" t="s">
        <v>194</v>
      </c>
    </row>
    <row r="34" spans="2:8" ht="19.5" thickBot="1">
      <c r="B34" s="220" t="s">
        <v>109</v>
      </c>
      <c r="C34" s="221">
        <f>F20</f>
        <v>8.0863597913164886E-2</v>
      </c>
      <c r="D34" s="221">
        <f>F21</f>
        <v>8.0863598050987529E-2</v>
      </c>
      <c r="E34" s="222">
        <f>F22</f>
        <v>8.0863598277821414E-2</v>
      </c>
    </row>
    <row r="37" spans="2:8" ht="21">
      <c r="B37" s="83" t="s">
        <v>122</v>
      </c>
    </row>
    <row r="38" spans="2:8" ht="15.75" thickBot="1"/>
    <row r="39" spans="2:8" ht="21.75" thickBot="1">
      <c r="B39" s="4"/>
      <c r="C39" s="29" t="s">
        <v>124</v>
      </c>
      <c r="D39" s="29" t="s">
        <v>125</v>
      </c>
      <c r="E39" s="29" t="s">
        <v>126</v>
      </c>
      <c r="F39" s="29" t="s">
        <v>127</v>
      </c>
      <c r="G39" s="29" t="s">
        <v>128</v>
      </c>
      <c r="H39" s="29" t="s">
        <v>129</v>
      </c>
    </row>
    <row r="40" spans="2:8" ht="19.5" thickBot="1">
      <c r="B40" s="224" t="s">
        <v>130</v>
      </c>
      <c r="C40" s="221">
        <f>I11</f>
        <v>7.9372594929985524E-2</v>
      </c>
      <c r="D40" s="221">
        <f>I12</f>
        <v>6.5596416097468954E-2</v>
      </c>
      <c r="E40" s="221">
        <f>I13</f>
        <v>3.1798219513967219E-2</v>
      </c>
      <c r="F40" s="221">
        <f>I14</f>
        <v>5.7232443738254313E-2</v>
      </c>
      <c r="G40" s="221">
        <f>I15</f>
        <v>5.9632732301761138E-2</v>
      </c>
      <c r="H40" s="222">
        <f>I16</f>
        <v>6.1708408564840056E-2</v>
      </c>
    </row>
    <row r="41" spans="2:8" ht="15.75" thickBot="1"/>
    <row r="42" spans="2:8" ht="21.75" thickBot="1">
      <c r="B42" s="28"/>
      <c r="C42" s="29" t="s">
        <v>131</v>
      </c>
      <c r="D42" s="29" t="s">
        <v>132</v>
      </c>
      <c r="E42" s="29" t="s">
        <v>133</v>
      </c>
      <c r="F42" s="29" t="s">
        <v>134</v>
      </c>
      <c r="G42" s="29" t="s">
        <v>135</v>
      </c>
      <c r="H42" s="29" t="s">
        <v>136</v>
      </c>
    </row>
    <row r="43" spans="2:8" ht="19.5" thickBot="1">
      <c r="B43" s="220" t="s">
        <v>130</v>
      </c>
      <c r="C43" s="221">
        <f>I17</f>
        <v>6.2746246696379293E-2</v>
      </c>
      <c r="D43" s="221">
        <f>I18</f>
        <v>6.3784084827919418E-2</v>
      </c>
      <c r="E43" s="221">
        <f>I19</f>
        <v>6.3784084827919196E-2</v>
      </c>
      <c r="F43" s="221">
        <f>I20</f>
        <v>6.3784084630288396E-2</v>
      </c>
      <c r="G43" s="221">
        <f>I21</f>
        <v>6.3784084765933224E-2</v>
      </c>
      <c r="H43" s="222">
        <f>I22</f>
        <v>6.3784084989182643E-2</v>
      </c>
    </row>
    <row r="46" spans="2:8" ht="18.75">
      <c r="B46" s="144" t="s">
        <v>147</v>
      </c>
    </row>
    <row r="47" spans="2:8">
      <c r="B47" s="419" t="s">
        <v>162</v>
      </c>
      <c r="C47" s="419"/>
    </row>
    <row r="48" spans="2:8">
      <c r="B48" s="419" t="s">
        <v>163</v>
      </c>
      <c r="C48" s="419"/>
    </row>
    <row r="49" spans="2:2">
      <c r="B49" t="s">
        <v>169</v>
      </c>
    </row>
    <row r="50" spans="2:2">
      <c r="B50" s="1" t="s">
        <v>26</v>
      </c>
    </row>
    <row r="51" spans="2:2">
      <c r="B51" s="1" t="s">
        <v>36</v>
      </c>
    </row>
    <row r="52" spans="2:2">
      <c r="B52" s="1" t="s">
        <v>37</v>
      </c>
    </row>
    <row r="53" spans="2:2">
      <c r="B53" s="1" t="s">
        <v>63</v>
      </c>
    </row>
  </sheetData>
  <mergeCells count="5">
    <mergeCell ref="B48:C48"/>
    <mergeCell ref="B23:I23"/>
    <mergeCell ref="A26:E26"/>
    <mergeCell ref="A24:E24"/>
    <mergeCell ref="B47:C47"/>
  </mergeCells>
  <phoneticPr fontId="7" type="noConversion"/>
  <pageMargins left="0.511811024" right="0.511811024" top="0.78740157499999996" bottom="0.78740157499999996" header="0.31496062000000002" footer="0.31496062000000002"/>
  <pageSetup paperSize="9" scale="48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C72"/>
  <sheetViews>
    <sheetView zoomScale="70" zoomScaleNormal="70" workbookViewId="0"/>
  </sheetViews>
  <sheetFormatPr defaultRowHeight="15"/>
  <cols>
    <col min="1" max="1" width="10.7109375" customWidth="1"/>
    <col min="2" max="2" width="48.85546875" bestFit="1" customWidth="1"/>
    <col min="3" max="17" width="12.7109375" customWidth="1"/>
  </cols>
  <sheetData>
    <row r="2" spans="2:29" s="259" customFormat="1" ht="21">
      <c r="B2" s="262" t="s">
        <v>171</v>
      </c>
    </row>
    <row r="3" spans="2:29" s="259" customFormat="1" ht="15.75" thickBot="1"/>
    <row r="4" spans="2:29" s="259" customFormat="1" ht="21.75" thickBot="1">
      <c r="B4" s="347"/>
      <c r="C4" s="30">
        <v>2004</v>
      </c>
      <c r="D4" s="219">
        <f>C4+1</f>
        <v>2005</v>
      </c>
      <c r="E4" s="30" t="s">
        <v>100</v>
      </c>
      <c r="F4" s="219">
        <f>D4+2</f>
        <v>2007</v>
      </c>
      <c r="G4" s="30">
        <f t="shared" ref="G4:N4" si="0">F4+1</f>
        <v>2008</v>
      </c>
      <c r="H4" s="30">
        <f t="shared" si="0"/>
        <v>2009</v>
      </c>
      <c r="I4" s="30">
        <f t="shared" si="0"/>
        <v>2010</v>
      </c>
      <c r="J4" s="30">
        <f t="shared" si="0"/>
        <v>2011</v>
      </c>
      <c r="K4" s="30">
        <f t="shared" si="0"/>
        <v>2012</v>
      </c>
      <c r="L4" s="30">
        <f t="shared" si="0"/>
        <v>2013</v>
      </c>
      <c r="M4" s="30">
        <f t="shared" si="0"/>
        <v>2014</v>
      </c>
      <c r="N4" s="30">
        <f t="shared" si="0"/>
        <v>2015</v>
      </c>
      <c r="O4" s="30">
        <f>N4+1</f>
        <v>2016</v>
      </c>
      <c r="P4" s="30">
        <f>O4+1</f>
        <v>2017</v>
      </c>
      <c r="Q4" s="30">
        <f>P4+1</f>
        <v>2018</v>
      </c>
    </row>
    <row r="5" spans="2:29" s="259" customFormat="1" ht="18.75">
      <c r="B5" s="348" t="s">
        <v>80</v>
      </c>
      <c r="C5" s="210">
        <f>'Summed Company request data'!D3</f>
        <v>57765.128241395563</v>
      </c>
      <c r="D5" s="96">
        <f>'Summed Company request data'!E3</f>
        <v>66570.236680810936</v>
      </c>
      <c r="E5" s="210">
        <f>C5*1.12</f>
        <v>64696.943630363035</v>
      </c>
      <c r="F5" s="96">
        <f>E5*1.03</f>
        <v>66637.851939273925</v>
      </c>
      <c r="G5" s="210">
        <f t="shared" ref="G5:N5" si="1">F5*1.03</f>
        <v>68636.987497452152</v>
      </c>
      <c r="H5" s="210">
        <f t="shared" si="1"/>
        <v>70696.097122375722</v>
      </c>
      <c r="I5" s="210">
        <f t="shared" si="1"/>
        <v>72816.980036046996</v>
      </c>
      <c r="J5" s="210">
        <f t="shared" si="1"/>
        <v>75001.489437128403</v>
      </c>
      <c r="K5" s="210">
        <f t="shared" si="1"/>
        <v>77251.534120242257</v>
      </c>
      <c r="L5" s="210">
        <f t="shared" si="1"/>
        <v>79569.080143849525</v>
      </c>
      <c r="M5" s="210">
        <f t="shared" si="1"/>
        <v>81956.152548165017</v>
      </c>
      <c r="N5" s="210">
        <f t="shared" si="1"/>
        <v>84414.83712460997</v>
      </c>
      <c r="O5" s="210">
        <f t="shared" ref="O5:Q6" si="2">N5*1.03</f>
        <v>86947.282238348271</v>
      </c>
      <c r="P5" s="210">
        <f t="shared" si="2"/>
        <v>89555.700705498719</v>
      </c>
      <c r="Q5" s="210">
        <f t="shared" si="2"/>
        <v>92242.371726663681</v>
      </c>
    </row>
    <row r="6" spans="2:29" s="259" customFormat="1" ht="18.75">
      <c r="B6" s="349" t="s">
        <v>172</v>
      </c>
      <c r="C6" s="160">
        <v>43764</v>
      </c>
      <c r="D6" s="98">
        <v>52838</v>
      </c>
      <c r="E6" s="160">
        <f>C6*1.12</f>
        <v>49015.680000000008</v>
      </c>
      <c r="F6" s="98">
        <f>E6*1.03</f>
        <v>50486.150400000006</v>
      </c>
      <c r="G6" s="160">
        <f t="shared" ref="G6:N6" si="3">F6*1.03</f>
        <v>52000.734912000007</v>
      </c>
      <c r="H6" s="160">
        <f t="shared" si="3"/>
        <v>53560.756959360006</v>
      </c>
      <c r="I6" s="160">
        <f t="shared" si="3"/>
        <v>55167.57966814081</v>
      </c>
      <c r="J6" s="160">
        <f t="shared" si="3"/>
        <v>56822.607058185036</v>
      </c>
      <c r="K6" s="160">
        <f t="shared" si="3"/>
        <v>58527.285269930588</v>
      </c>
      <c r="L6" s="160">
        <f t="shared" si="3"/>
        <v>60283.103828028507</v>
      </c>
      <c r="M6" s="160">
        <f t="shared" si="3"/>
        <v>62091.596942869364</v>
      </c>
      <c r="N6" s="160">
        <f t="shared" si="3"/>
        <v>63954.344851155445</v>
      </c>
      <c r="O6" s="160">
        <f t="shared" si="2"/>
        <v>65872.975196690109</v>
      </c>
      <c r="P6" s="160">
        <f t="shared" si="2"/>
        <v>67849.16445259082</v>
      </c>
      <c r="Q6" s="160">
        <f t="shared" si="2"/>
        <v>69884.63938616855</v>
      </c>
    </row>
    <row r="7" spans="2:29" s="259" customFormat="1" ht="18.75">
      <c r="B7" s="349" t="s">
        <v>81</v>
      </c>
      <c r="C7" s="160">
        <f>C5-C6</f>
        <v>14001.128241395563</v>
      </c>
      <c r="D7" s="98">
        <f t="shared" ref="D7:Q7" si="4">D5-D6</f>
        <v>13732.236680810936</v>
      </c>
      <c r="E7" s="160">
        <f t="shared" si="4"/>
        <v>15681.263630363028</v>
      </c>
      <c r="F7" s="98">
        <f t="shared" si="4"/>
        <v>16151.701539273919</v>
      </c>
      <c r="G7" s="160">
        <f t="shared" si="4"/>
        <v>16636.252585452145</v>
      </c>
      <c r="H7" s="160">
        <f t="shared" si="4"/>
        <v>17135.340163015717</v>
      </c>
      <c r="I7" s="160">
        <f t="shared" si="4"/>
        <v>17649.400367906186</v>
      </c>
      <c r="J7" s="160">
        <f t="shared" si="4"/>
        <v>18178.882378943366</v>
      </c>
      <c r="K7" s="160">
        <f t="shared" si="4"/>
        <v>18724.248850311669</v>
      </c>
      <c r="L7" s="160">
        <f t="shared" si="4"/>
        <v>19285.976315821019</v>
      </c>
      <c r="M7" s="160">
        <f t="shared" si="4"/>
        <v>19864.555605295653</v>
      </c>
      <c r="N7" s="160">
        <f>N5-N6</f>
        <v>20460.492273454525</v>
      </c>
      <c r="O7" s="160">
        <f t="shared" si="4"/>
        <v>21074.307041658161</v>
      </c>
      <c r="P7" s="160">
        <f t="shared" si="4"/>
        <v>21706.536252907899</v>
      </c>
      <c r="Q7" s="160">
        <f t="shared" si="4"/>
        <v>22357.732340495131</v>
      </c>
    </row>
    <row r="8" spans="2:29" s="259" customFormat="1" ht="18.75">
      <c r="B8" s="349" t="s">
        <v>86</v>
      </c>
      <c r="C8" s="160">
        <f>804+823/D38</f>
        <v>1774.0612918434699</v>
      </c>
      <c r="D8" s="98">
        <f>1062+378.4/D38</f>
        <v>1508.0160301744459</v>
      </c>
      <c r="E8" s="160">
        <f>C8*1.12</f>
        <v>1986.9486468646865</v>
      </c>
      <c r="F8" s="98">
        <f t="shared" ref="F8:N10" si="5">E8*1.03</f>
        <v>2046.5571062706272</v>
      </c>
      <c r="G8" s="160">
        <f t="shared" si="5"/>
        <v>2107.9538194587462</v>
      </c>
      <c r="H8" s="160">
        <f t="shared" si="5"/>
        <v>2171.1924340425085</v>
      </c>
      <c r="I8" s="160">
        <f t="shared" si="5"/>
        <v>2236.3282070637838</v>
      </c>
      <c r="J8" s="160">
        <f t="shared" si="5"/>
        <v>2303.4180532756973</v>
      </c>
      <c r="K8" s="160">
        <f t="shared" si="5"/>
        <v>2372.5205948739681</v>
      </c>
      <c r="L8" s="160">
        <f t="shared" si="5"/>
        <v>2443.6962127201873</v>
      </c>
      <c r="M8" s="160">
        <f t="shared" si="5"/>
        <v>2517.0070991017928</v>
      </c>
      <c r="N8" s="160">
        <f t="shared" si="5"/>
        <v>2592.5173120748468</v>
      </c>
      <c r="O8" s="160">
        <f>N8*1.03</f>
        <v>2670.2928314370924</v>
      </c>
      <c r="P8" s="160">
        <f>O8*1.03</f>
        <v>2750.4016163802053</v>
      </c>
      <c r="Q8" s="160">
        <f>P8*1.03</f>
        <v>2832.9136648716117</v>
      </c>
    </row>
    <row r="9" spans="2:29" s="259" customFormat="1" ht="19.5" thickBot="1">
      <c r="B9" s="350" t="s">
        <v>1</v>
      </c>
      <c r="C9" s="211">
        <f>C7-C8</f>
        <v>12227.066949552092</v>
      </c>
      <c r="D9" s="100">
        <f t="shared" ref="D9:M9" si="6">D7-D8</f>
        <v>12224.220650636491</v>
      </c>
      <c r="E9" s="211">
        <f t="shared" si="6"/>
        <v>13694.314983498341</v>
      </c>
      <c r="F9" s="100">
        <f t="shared" si="6"/>
        <v>14105.144433003292</v>
      </c>
      <c r="G9" s="211">
        <f t="shared" si="6"/>
        <v>14528.298765993399</v>
      </c>
      <c r="H9" s="211">
        <f t="shared" si="6"/>
        <v>14964.147728973208</v>
      </c>
      <c r="I9" s="211">
        <f t="shared" si="6"/>
        <v>15413.072160842403</v>
      </c>
      <c r="J9" s="211">
        <f t="shared" si="6"/>
        <v>15875.464325667668</v>
      </c>
      <c r="K9" s="211">
        <f t="shared" si="6"/>
        <v>16351.728255437702</v>
      </c>
      <c r="L9" s="211">
        <f t="shared" si="6"/>
        <v>16842.280103100831</v>
      </c>
      <c r="M9" s="211">
        <f t="shared" si="6"/>
        <v>17347.54850619386</v>
      </c>
      <c r="N9" s="211">
        <f>N7-N8</f>
        <v>17867.974961379678</v>
      </c>
      <c r="O9" s="211">
        <f>O7-O8</f>
        <v>18404.01421022107</v>
      </c>
      <c r="P9" s="211">
        <f>P7-P8</f>
        <v>18956.134636527695</v>
      </c>
      <c r="Q9" s="211">
        <f>Q7-Q8</f>
        <v>19524.818675623519</v>
      </c>
    </row>
    <row r="10" spans="2:29" s="259" customFormat="1" ht="18.75">
      <c r="B10" s="351" t="s">
        <v>85</v>
      </c>
      <c r="C10" s="201">
        <v>1905</v>
      </c>
      <c r="D10" s="215">
        <v>2320</v>
      </c>
      <c r="E10" s="201">
        <f>C10*1.12</f>
        <v>2133.6000000000004</v>
      </c>
      <c r="F10" s="215">
        <f t="shared" si="5"/>
        <v>2197.6080000000006</v>
      </c>
      <c r="G10" s="201">
        <f t="shared" si="5"/>
        <v>2263.5362400000008</v>
      </c>
      <c r="H10" s="201">
        <f t="shared" si="5"/>
        <v>2331.4423272000008</v>
      </c>
      <c r="I10" s="201">
        <f t="shared" si="5"/>
        <v>2401.3855970160007</v>
      </c>
      <c r="J10" s="201">
        <f t="shared" si="5"/>
        <v>2473.4271649264806</v>
      </c>
      <c r="K10" s="201">
        <f t="shared" si="5"/>
        <v>2547.6299798742753</v>
      </c>
      <c r="L10" s="201">
        <f t="shared" si="5"/>
        <v>2624.0588792705034</v>
      </c>
      <c r="M10" s="201">
        <f t="shared" si="5"/>
        <v>2702.7806456486187</v>
      </c>
      <c r="N10" s="201">
        <f>M10*1.03</f>
        <v>2783.8640650180773</v>
      </c>
      <c r="O10" s="201">
        <f>N10*1.03</f>
        <v>2867.3799869686195</v>
      </c>
      <c r="P10" s="201">
        <f>O10*1.03</f>
        <v>2953.4013865776783</v>
      </c>
      <c r="Q10" s="201">
        <f>P10*1.03</f>
        <v>3042.0034281750086</v>
      </c>
    </row>
    <row r="11" spans="2:29" s="259" customFormat="1" ht="18.75">
      <c r="B11" s="352" t="s">
        <v>2</v>
      </c>
      <c r="C11" s="155">
        <f>C9-C10</f>
        <v>10322.066949552092</v>
      </c>
      <c r="D11" s="213">
        <f>D9-D10</f>
        <v>9904.220650636491</v>
      </c>
      <c r="E11" s="155">
        <f>E9-E10</f>
        <v>11560.714983498341</v>
      </c>
      <c r="F11" s="213">
        <f>F9-F10</f>
        <v>11907.536433003292</v>
      </c>
      <c r="G11" s="155">
        <f t="shared" ref="G11:M11" si="7">G9-G10</f>
        <v>12264.762525993398</v>
      </c>
      <c r="H11" s="155">
        <f t="shared" si="7"/>
        <v>12632.705401773208</v>
      </c>
      <c r="I11" s="155">
        <f t="shared" si="7"/>
        <v>13011.686563826403</v>
      </c>
      <c r="J11" s="155">
        <f t="shared" si="7"/>
        <v>13402.037160741187</v>
      </c>
      <c r="K11" s="155">
        <f t="shared" si="7"/>
        <v>13804.098275563427</v>
      </c>
      <c r="L11" s="155">
        <f t="shared" si="7"/>
        <v>14218.221223830327</v>
      </c>
      <c r="M11" s="155">
        <f t="shared" si="7"/>
        <v>14644.767860545242</v>
      </c>
      <c r="N11" s="155">
        <f>N9-N10</f>
        <v>15084.110896361601</v>
      </c>
      <c r="O11" s="155">
        <f>O9-O10</f>
        <v>15536.634223252451</v>
      </c>
      <c r="P11" s="155">
        <f>P9-P10</f>
        <v>16002.733249950017</v>
      </c>
      <c r="Q11" s="155">
        <f>Q9-Q10</f>
        <v>16482.81524744851</v>
      </c>
    </row>
    <row r="12" spans="2:29" s="259" customFormat="1" ht="18.75">
      <c r="B12" s="352" t="s">
        <v>66</v>
      </c>
      <c r="C12" s="155">
        <f t="shared" ref="C12:M12" si="8">C11*(1-$F$31)</f>
        <v>8090.4360750589303</v>
      </c>
      <c r="D12" s="213">
        <f>D11*(1-$F$31)</f>
        <v>7762.9281459688818</v>
      </c>
      <c r="E12" s="155">
        <f t="shared" si="8"/>
        <v>9061.288404066001</v>
      </c>
      <c r="F12" s="213">
        <f t="shared" si="8"/>
        <v>9333.127056187981</v>
      </c>
      <c r="G12" s="155">
        <f t="shared" si="8"/>
        <v>9613.1208678736257</v>
      </c>
      <c r="H12" s="155">
        <f t="shared" si="8"/>
        <v>9901.5144939098409</v>
      </c>
      <c r="I12" s="155">
        <f t="shared" si="8"/>
        <v>10198.559928727134</v>
      </c>
      <c r="J12" s="155">
        <f t="shared" si="8"/>
        <v>10504.516726588943</v>
      </c>
      <c r="K12" s="155">
        <f t="shared" si="8"/>
        <v>10819.652228386614</v>
      </c>
      <c r="L12" s="155">
        <f t="shared" si="8"/>
        <v>11144.241795238211</v>
      </c>
      <c r="M12" s="155">
        <f t="shared" si="8"/>
        <v>11478.569049095362</v>
      </c>
      <c r="N12" s="155">
        <f>N11*(1-$F$31)</f>
        <v>11822.926120568223</v>
      </c>
      <c r="O12" s="155">
        <f>O11*(1-$F$31)</f>
        <v>12177.613904185271</v>
      </c>
      <c r="P12" s="155">
        <f>P11*(1-$F$31)</f>
        <v>12542.942321310824</v>
      </c>
      <c r="Q12" s="155">
        <f>Q11*(1-$F$31)</f>
        <v>12919.230590950143</v>
      </c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</row>
    <row r="13" spans="2:29" s="259" customFormat="1" ht="19.5" thickBot="1">
      <c r="B13" s="353" t="s">
        <v>72</v>
      </c>
      <c r="C13" s="202">
        <f>C10</f>
        <v>1905</v>
      </c>
      <c r="D13" s="216">
        <f t="shared" ref="D13:M13" si="9">D10</f>
        <v>2320</v>
      </c>
      <c r="E13" s="202">
        <f t="shared" si="9"/>
        <v>2133.6000000000004</v>
      </c>
      <c r="F13" s="216">
        <f t="shared" si="9"/>
        <v>2197.6080000000006</v>
      </c>
      <c r="G13" s="202">
        <f t="shared" si="9"/>
        <v>2263.5362400000008</v>
      </c>
      <c r="H13" s="202">
        <f t="shared" si="9"/>
        <v>2331.4423272000008</v>
      </c>
      <c r="I13" s="202">
        <f t="shared" si="9"/>
        <v>2401.3855970160007</v>
      </c>
      <c r="J13" s="202">
        <f t="shared" si="9"/>
        <v>2473.4271649264806</v>
      </c>
      <c r="K13" s="202">
        <f t="shared" si="9"/>
        <v>2547.6299798742753</v>
      </c>
      <c r="L13" s="202">
        <f t="shared" si="9"/>
        <v>2624.0588792705034</v>
      </c>
      <c r="M13" s="202">
        <f t="shared" si="9"/>
        <v>2702.7806456486187</v>
      </c>
      <c r="N13" s="202">
        <f>N10</f>
        <v>2783.8640650180773</v>
      </c>
      <c r="O13" s="202">
        <f>O10</f>
        <v>2867.3799869686195</v>
      </c>
      <c r="P13" s="202">
        <f>P10</f>
        <v>2953.4013865776783</v>
      </c>
      <c r="Q13" s="202">
        <f>Q10</f>
        <v>3042.0034281750086</v>
      </c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</row>
    <row r="14" spans="2:29" s="259" customFormat="1" ht="18.75">
      <c r="B14" s="354" t="s">
        <v>102</v>
      </c>
      <c r="C14" s="210">
        <f>'Summed Company request data'!D15</f>
        <v>35200.957095709571</v>
      </c>
      <c r="D14" s="96">
        <f>'Summed Company request data'!E15</f>
        <v>50596.912776991987</v>
      </c>
      <c r="E14" s="210">
        <f>D14*1.03</f>
        <v>52114.820160301751</v>
      </c>
      <c r="F14" s="96">
        <f t="shared" ref="F14:M14" si="10">E14*1.03</f>
        <v>53678.264765110805</v>
      </c>
      <c r="G14" s="210">
        <f t="shared" si="10"/>
        <v>55288.612708064131</v>
      </c>
      <c r="H14" s="210">
        <f t="shared" si="10"/>
        <v>56947.271089306058</v>
      </c>
      <c r="I14" s="210">
        <f t="shared" si="10"/>
        <v>58655.689221985238</v>
      </c>
      <c r="J14" s="210">
        <f t="shared" si="10"/>
        <v>60415.359898644798</v>
      </c>
      <c r="K14" s="210">
        <f t="shared" si="10"/>
        <v>62227.820695604147</v>
      </c>
      <c r="L14" s="210">
        <f t="shared" si="10"/>
        <v>64094.655316472272</v>
      </c>
      <c r="M14" s="210">
        <f t="shared" si="10"/>
        <v>66017.494975966445</v>
      </c>
      <c r="N14" s="210">
        <f>M14*1.03</f>
        <v>67998.019825245443</v>
      </c>
      <c r="O14" s="210">
        <f>N14*1.03</f>
        <v>70037.960420002812</v>
      </c>
      <c r="P14" s="210">
        <f>O14*1.03</f>
        <v>72139.099232602894</v>
      </c>
      <c r="Q14" s="210">
        <f>P14*1.03</f>
        <v>74303.272209580988</v>
      </c>
      <c r="R14" s="260"/>
      <c r="S14" s="260"/>
      <c r="T14" s="260"/>
      <c r="U14" s="260"/>
      <c r="V14" s="260"/>
      <c r="W14" s="260"/>
      <c r="X14" s="260"/>
      <c r="Y14" s="260"/>
      <c r="Z14" s="260"/>
      <c r="AA14" s="260"/>
      <c r="AB14" s="260"/>
      <c r="AC14" s="260"/>
    </row>
    <row r="15" spans="2:29" s="259" customFormat="1" ht="19.5" thickBot="1">
      <c r="B15" s="355" t="s">
        <v>75</v>
      </c>
      <c r="C15" s="160">
        <f>'Summed Company request data'!D15-'Summed Company request data'!C15</f>
        <v>4766.6534653465351</v>
      </c>
      <c r="D15" s="98">
        <f t="shared" ref="D15:I15" si="11">D14-C14</f>
        <v>15395.955681282416</v>
      </c>
      <c r="E15" s="160">
        <f t="shared" si="11"/>
        <v>1517.9073833097646</v>
      </c>
      <c r="F15" s="98">
        <f t="shared" si="11"/>
        <v>1563.444604809054</v>
      </c>
      <c r="G15" s="160">
        <f t="shared" si="11"/>
        <v>1610.3479429533254</v>
      </c>
      <c r="H15" s="160">
        <f t="shared" si="11"/>
        <v>1658.6583812419267</v>
      </c>
      <c r="I15" s="160">
        <f t="shared" si="11"/>
        <v>1708.4181326791804</v>
      </c>
      <c r="J15" s="160">
        <f t="shared" ref="J15:Q15" si="12">J14-I14</f>
        <v>1759.6706766595598</v>
      </c>
      <c r="K15" s="160">
        <f t="shared" si="12"/>
        <v>1812.460796959349</v>
      </c>
      <c r="L15" s="160">
        <f t="shared" si="12"/>
        <v>1866.8346208681251</v>
      </c>
      <c r="M15" s="160">
        <f t="shared" si="12"/>
        <v>1922.8396594941732</v>
      </c>
      <c r="N15" s="160">
        <f t="shared" si="12"/>
        <v>1980.5248492789979</v>
      </c>
      <c r="O15" s="160">
        <f t="shared" si="12"/>
        <v>2039.9405947573687</v>
      </c>
      <c r="P15" s="160">
        <f t="shared" si="12"/>
        <v>2101.138812600082</v>
      </c>
      <c r="Q15" s="160">
        <f t="shared" si="12"/>
        <v>2164.1729769780941</v>
      </c>
      <c r="R15" s="260"/>
      <c r="S15" s="260"/>
      <c r="T15" s="260"/>
      <c r="U15" s="260"/>
      <c r="V15" s="260"/>
      <c r="W15" s="260"/>
      <c r="X15" s="260"/>
      <c r="Y15" s="260"/>
      <c r="Z15" s="260"/>
      <c r="AA15" s="260"/>
      <c r="AB15" s="260"/>
      <c r="AC15" s="260"/>
    </row>
    <row r="16" spans="2:29" s="259" customFormat="1" ht="18.75">
      <c r="B16" s="351" t="s">
        <v>67</v>
      </c>
      <c r="C16" s="266">
        <f>C12-C15</f>
        <v>3323.7826097123952</v>
      </c>
      <c r="D16" s="266">
        <f t="shared" ref="D16:Q16" si="13">D12-D15</f>
        <v>-7633.0275353135339</v>
      </c>
      <c r="E16" s="266">
        <f t="shared" si="13"/>
        <v>7543.3810207562365</v>
      </c>
      <c r="F16" s="266">
        <f t="shared" si="13"/>
        <v>7769.682451378927</v>
      </c>
      <c r="G16" s="266">
        <f t="shared" si="13"/>
        <v>8002.7729249203003</v>
      </c>
      <c r="H16" s="266">
        <f t="shared" si="13"/>
        <v>8242.8561126679142</v>
      </c>
      <c r="I16" s="266">
        <f t="shared" si="13"/>
        <v>8490.1417960479539</v>
      </c>
      <c r="J16" s="266">
        <f t="shared" si="13"/>
        <v>8744.8460499293833</v>
      </c>
      <c r="K16" s="266">
        <f t="shared" si="13"/>
        <v>9007.1914314272653</v>
      </c>
      <c r="L16" s="266">
        <f t="shared" si="13"/>
        <v>9277.4071743700861</v>
      </c>
      <c r="M16" s="266">
        <f t="shared" si="13"/>
        <v>9555.7293896011888</v>
      </c>
      <c r="N16" s="266">
        <f t="shared" si="13"/>
        <v>9842.4012712892254</v>
      </c>
      <c r="O16" s="266">
        <f t="shared" si="13"/>
        <v>10137.673309427902</v>
      </c>
      <c r="P16" s="266">
        <f t="shared" si="13"/>
        <v>10441.803508710742</v>
      </c>
      <c r="Q16" s="266">
        <f t="shared" si="13"/>
        <v>10755.057613972049</v>
      </c>
      <c r="R16" s="260"/>
      <c r="S16" s="260"/>
      <c r="T16" s="260"/>
      <c r="U16" s="260"/>
      <c r="V16" s="260"/>
      <c r="W16" s="260"/>
      <c r="X16" s="260"/>
      <c r="Y16" s="260"/>
      <c r="Z16" s="260"/>
      <c r="AA16" s="260"/>
      <c r="AB16" s="260"/>
      <c r="AC16" s="260"/>
    </row>
    <row r="17" spans="2:29" s="259" customFormat="1" ht="18.75">
      <c r="B17" s="352" t="s">
        <v>76</v>
      </c>
      <c r="C17" s="267"/>
      <c r="D17" s="268"/>
      <c r="E17" s="267"/>
      <c r="F17" s="268"/>
      <c r="G17" s="267"/>
      <c r="H17" s="267"/>
      <c r="I17" s="267"/>
      <c r="J17" s="267"/>
      <c r="K17" s="267"/>
      <c r="L17" s="267"/>
      <c r="M17" s="267"/>
      <c r="N17" s="267"/>
      <c r="O17" s="267"/>
      <c r="P17" s="267"/>
      <c r="Q17" s="267">
        <f>Q16/('WACC projection'!E34-3%)</f>
        <v>211449.012223378</v>
      </c>
      <c r="R17" s="260"/>
      <c r="S17" s="260"/>
      <c r="T17" s="260"/>
      <c r="U17" s="260"/>
      <c r="V17" s="260"/>
      <c r="W17" s="260"/>
      <c r="X17" s="260"/>
      <c r="Y17" s="260"/>
      <c r="Z17" s="260"/>
      <c r="AA17" s="260"/>
      <c r="AB17" s="260"/>
      <c r="AC17" s="260"/>
    </row>
    <row r="18" spans="2:29" s="259" customFormat="1" ht="19.5" thickBot="1">
      <c r="B18" s="356" t="s">
        <v>198</v>
      </c>
      <c r="C18" s="269">
        <f>'WACC projection'!C28</f>
        <v>8.1702093525473682E-2</v>
      </c>
      <c r="D18" s="270">
        <f>'WACC projection'!D28</f>
        <v>9.1114967128016477E-2</v>
      </c>
      <c r="E18" s="269">
        <f>'WACC projection'!E28</f>
        <v>8.8517234922014021E-2</v>
      </c>
      <c r="F18" s="270">
        <f>'WACC projection'!F28</f>
        <v>8.4535521487352216E-2</v>
      </c>
      <c r="G18" s="269">
        <f>'WACC projection'!G28</f>
        <v>9.4989168430486437E-2</v>
      </c>
      <c r="H18" s="269">
        <f>'WACC projection'!H28</f>
        <v>4.8364185907008306E-2</v>
      </c>
      <c r="I18" s="269">
        <f>'WACC projection'!C31</f>
        <v>7.4206767594764411E-2</v>
      </c>
      <c r="J18" s="269">
        <f>'WACC projection'!D31</f>
        <v>7.6645593828645664E-2</v>
      </c>
      <c r="K18" s="269">
        <f>'WACC projection'!E31</f>
        <v>7.8754595971306962E-2</v>
      </c>
      <c r="L18" s="269">
        <f>'WACC projection'!F31</f>
        <v>7.9809097042637722E-2</v>
      </c>
      <c r="M18" s="269">
        <f>'WACC projection'!G31</f>
        <v>8.0863598113968926E-2</v>
      </c>
      <c r="N18" s="269">
        <f>'WACC projection'!H31</f>
        <v>8.0863598113968704E-2</v>
      </c>
      <c r="O18" s="269">
        <f>'WACC projection'!C34</f>
        <v>8.0863597913164886E-2</v>
      </c>
      <c r="P18" s="269">
        <f>'WACC projection'!D34</f>
        <v>8.0863598050987529E-2</v>
      </c>
      <c r="Q18" s="269">
        <f>'WACC projection'!E34</f>
        <v>8.0863598277821414E-2</v>
      </c>
      <c r="R18" s="260"/>
      <c r="S18" s="260"/>
      <c r="T18" s="260"/>
      <c r="U18" s="260"/>
      <c r="V18" s="260"/>
      <c r="W18" s="260"/>
      <c r="X18" s="260"/>
      <c r="Y18" s="260"/>
      <c r="Z18" s="260"/>
      <c r="AA18" s="260"/>
      <c r="AB18" s="260"/>
      <c r="AC18" s="260"/>
    </row>
    <row r="19" spans="2:29" s="259" customFormat="1" ht="18.75">
      <c r="B19" s="349" t="s">
        <v>199</v>
      </c>
      <c r="C19" s="237"/>
      <c r="D19" s="238"/>
      <c r="E19" s="237"/>
      <c r="F19" s="238">
        <v>1</v>
      </c>
      <c r="G19" s="124">
        <f>F19*(1/(1+G18))</f>
        <v>0.91325104286954717</v>
      </c>
      <c r="H19" s="124">
        <f>G19*(1/(1+H18))</f>
        <v>0.87112003170867014</v>
      </c>
      <c r="I19" s="124">
        <f t="shared" ref="I19:Q19" si="14">H19*(1/(1+I18))</f>
        <v>0.8109426024741756</v>
      </c>
      <c r="J19" s="124">
        <f t="shared" si="14"/>
        <v>0.75321220569007574</v>
      </c>
      <c r="K19" s="124">
        <f t="shared" si="14"/>
        <v>0.69822386713623774</v>
      </c>
      <c r="L19" s="124">
        <f t="shared" si="14"/>
        <v>0.64661787814949978</v>
      </c>
      <c r="M19" s="124">
        <f t="shared" si="14"/>
        <v>0.59824188665230515</v>
      </c>
      <c r="N19" s="124">
        <f t="shared" si="14"/>
        <v>0.55348509071467977</v>
      </c>
      <c r="O19" s="124">
        <f t="shared" si="14"/>
        <v>0.51207672437419438</v>
      </c>
      <c r="P19" s="124">
        <f t="shared" si="14"/>
        <v>0.47376627846249125</v>
      </c>
      <c r="Q19" s="124">
        <f t="shared" si="14"/>
        <v>0.43832198550988299</v>
      </c>
    </row>
    <row r="20" spans="2:29" s="259" customFormat="1" ht="18.75">
      <c r="B20" s="349" t="s">
        <v>68</v>
      </c>
      <c r="C20" s="160"/>
      <c r="D20" s="98"/>
      <c r="E20" s="160"/>
      <c r="F20" s="150">
        <f t="shared" ref="F20:L20" si="15">F16*F19</f>
        <v>7769.682451378927</v>
      </c>
      <c r="G20" s="160">
        <f t="shared" si="15"/>
        <v>7308.5407195316402</v>
      </c>
      <c r="H20" s="160">
        <f t="shared" si="15"/>
        <v>7180.5170782372788</v>
      </c>
      <c r="I20" s="160">
        <f t="shared" si="15"/>
        <v>6885.0176834618987</v>
      </c>
      <c r="J20" s="160">
        <f t="shared" si="15"/>
        <v>6586.7247816874569</v>
      </c>
      <c r="K20" s="160">
        <f t="shared" si="15"/>
        <v>6289.0360332875298</v>
      </c>
      <c r="L20" s="160">
        <f t="shared" si="15"/>
        <v>5998.9373418201312</v>
      </c>
      <c r="M20" s="160">
        <f>M16*M19</f>
        <v>5716.6375783738958</v>
      </c>
      <c r="N20" s="160">
        <f>N16*N19</f>
        <v>5447.6223604897968</v>
      </c>
      <c r="O20" s="160">
        <f>O16*O19</f>
        <v>5191.266541067539</v>
      </c>
      <c r="P20" s="160">
        <f>P16*P19</f>
        <v>4946.9743887584718</v>
      </c>
      <c r="Q20" s="160">
        <f>Q16*Q19</f>
        <v>4714.178207629413</v>
      </c>
    </row>
    <row r="21" spans="2:29" s="259" customFormat="1" ht="19.5" thickBot="1">
      <c r="B21" s="349" t="s">
        <v>77</v>
      </c>
      <c r="C21" s="237"/>
      <c r="D21" s="238"/>
      <c r="E21" s="237"/>
      <c r="F21" s="238"/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211">
        <f>Q17*Q19</f>
        <v>92682.750871854558</v>
      </c>
    </row>
    <row r="22" spans="2:29" s="259" customFormat="1" ht="19.5" thickBot="1">
      <c r="B22" s="377" t="s">
        <v>237</v>
      </c>
      <c r="C22" s="357"/>
      <c r="D22" s="271"/>
      <c r="E22" s="271"/>
      <c r="F22" s="272">
        <f>SUM(F20:Q21)</f>
        <v>166717.88603757854</v>
      </c>
      <c r="G22" s="217"/>
      <c r="H22" s="217"/>
      <c r="I22" s="217"/>
      <c r="J22" s="217"/>
      <c r="K22" s="217"/>
      <c r="L22" s="217"/>
      <c r="M22" s="217"/>
      <c r="N22" s="217"/>
      <c r="O22" s="217"/>
      <c r="P22" s="217"/>
      <c r="Q22" s="217"/>
    </row>
    <row r="23" spans="2:29" s="260" customFormat="1"/>
    <row r="24" spans="2:29" s="260" customFormat="1">
      <c r="B24" s="260" t="s">
        <v>101</v>
      </c>
    </row>
    <row r="25" spans="2:29" s="260" customFormat="1">
      <c r="B25" s="260" t="s">
        <v>103</v>
      </c>
    </row>
    <row r="26" spans="2:29" s="260" customFormat="1">
      <c r="B26" s="260" t="s">
        <v>195</v>
      </c>
    </row>
    <row r="27" spans="2:29" s="260" customFormat="1"/>
    <row r="28" spans="2:29" s="260" customFormat="1" ht="19.5" thickBot="1">
      <c r="B28" s="261" t="s">
        <v>170</v>
      </c>
    </row>
    <row r="29" spans="2:29" s="260" customFormat="1">
      <c r="B29" s="358" t="s">
        <v>82</v>
      </c>
      <c r="C29" s="359">
        <f>D5/C5-1</f>
        <v>0.15242947964418208</v>
      </c>
    </row>
    <row r="30" spans="2:29" s="260" customFormat="1" ht="19.5" thickBot="1">
      <c r="B30" s="360" t="s">
        <v>83</v>
      </c>
      <c r="C30" s="361">
        <f>D6/C6-1</f>
        <v>0.20733936568869393</v>
      </c>
      <c r="E30" s="261" t="s">
        <v>166</v>
      </c>
    </row>
    <row r="31" spans="2:29" s="260" customFormat="1" ht="15.75" thickBot="1">
      <c r="B31" s="360" t="s">
        <v>73</v>
      </c>
      <c r="C31" s="361">
        <f>D11/C11-1</f>
        <v>-4.0480874708309522E-2</v>
      </c>
      <c r="E31" s="362" t="s">
        <v>84</v>
      </c>
      <c r="F31" s="363">
        <v>0.2162</v>
      </c>
    </row>
    <row r="32" spans="2:29" s="260" customFormat="1" ht="15.75" thickBot="1">
      <c r="B32" s="364" t="s">
        <v>168</v>
      </c>
      <c r="C32" s="365">
        <f>D10/C10-1</f>
        <v>0.21784776902887137</v>
      </c>
    </row>
    <row r="33" spans="2:5" s="260" customFormat="1">
      <c r="B33" s="264"/>
      <c r="C33" s="264"/>
    </row>
    <row r="34" spans="2:5" s="260" customFormat="1" ht="15.75" thickBot="1"/>
    <row r="35" spans="2:5" s="260" customFormat="1">
      <c r="C35" s="366" t="s">
        <v>50</v>
      </c>
      <c r="D35" s="243">
        <v>117.47</v>
      </c>
      <c r="E35" s="244">
        <v>38807</v>
      </c>
    </row>
    <row r="36" spans="2:5" s="260" customFormat="1">
      <c r="C36" s="367" t="s">
        <v>50</v>
      </c>
      <c r="D36" s="246">
        <v>117.87</v>
      </c>
      <c r="E36" s="247">
        <v>38717</v>
      </c>
    </row>
    <row r="37" spans="2:5" s="260" customFormat="1">
      <c r="C37" s="367" t="s">
        <v>51</v>
      </c>
      <c r="D37" s="246">
        <v>1020.73</v>
      </c>
      <c r="E37" s="247">
        <v>38717</v>
      </c>
    </row>
    <row r="38" spans="2:5" s="260" customFormat="1">
      <c r="C38" s="367" t="s">
        <v>52</v>
      </c>
      <c r="D38" s="248">
        <v>0.84840000000000004</v>
      </c>
      <c r="E38" s="247">
        <v>38717</v>
      </c>
    </row>
    <row r="39" spans="2:5" s="260" customFormat="1" ht="15.75" thickBot="1">
      <c r="C39" s="368" t="s">
        <v>53</v>
      </c>
      <c r="D39" s="250">
        <v>0.58130000000000004</v>
      </c>
      <c r="E39" s="251">
        <v>38717</v>
      </c>
    </row>
    <row r="40" spans="2:5" s="260" customFormat="1"/>
    <row r="41" spans="2:5" s="33" customFormat="1"/>
    <row r="42" spans="2:5" s="33" customFormat="1"/>
    <row r="43" spans="2:5" s="33" customFormat="1"/>
    <row r="44" spans="2:5" s="33" customFormat="1"/>
    <row r="45" spans="2:5" s="33" customFormat="1"/>
    <row r="46" spans="2:5" s="33" customFormat="1"/>
    <row r="47" spans="2:5" s="33" customFormat="1"/>
    <row r="48" spans="2:5" s="33" customFormat="1"/>
    <row r="49" s="33" customFormat="1"/>
    <row r="50" s="33" customFormat="1"/>
    <row r="51" s="33" customFormat="1"/>
    <row r="52" s="33" customFormat="1"/>
    <row r="53" s="33" customFormat="1"/>
    <row r="54" s="33" customFormat="1"/>
    <row r="55" s="33" customFormat="1"/>
    <row r="56" s="33" customFormat="1"/>
    <row r="57" s="33" customFormat="1"/>
    <row r="58" s="33" customFormat="1"/>
    <row r="59" s="33" customFormat="1"/>
    <row r="60" s="33" customFormat="1"/>
    <row r="61" s="33" customFormat="1"/>
    <row r="62" s="33" customFormat="1"/>
    <row r="63" s="33" customFormat="1"/>
    <row r="64" s="33" customFormat="1"/>
    <row r="65" s="33" customFormat="1"/>
    <row r="66" s="33" customFormat="1"/>
    <row r="67" s="33" customFormat="1"/>
    <row r="68" s="33" customFormat="1"/>
    <row r="69" s="33" customFormat="1"/>
    <row r="70" s="33" customFormat="1"/>
    <row r="71" s="33" customFormat="1"/>
    <row r="72" s="33" customFormat="1"/>
  </sheetData>
  <phoneticPr fontId="7" type="noConversion"/>
  <pageMargins left="0.511811024" right="0.511811024" top="0.78740157499999996" bottom="0.78740157499999996" header="0.31496062000000002" footer="0.31496062000000002"/>
  <pageSetup paperSize="9" scale="64" orientation="landscape" horizontalDpi="300" verticalDpi="300" r:id="rId1"/>
  <ignoredErrors>
    <ignoredError sqref="E7:P7 O9:Q9 C8:E8 E9:E10 F8:F9 F10:I10 G8:N9 O8:Q8 Q7 J10:Q10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3"/>
  <sheetViews>
    <sheetView zoomScale="70" zoomScaleNormal="70" workbookViewId="0"/>
  </sheetViews>
  <sheetFormatPr defaultRowHeight="15"/>
  <cols>
    <col min="1" max="1" width="10.7109375" customWidth="1"/>
    <col min="2" max="2" width="48.140625" bestFit="1" customWidth="1"/>
    <col min="3" max="14" width="12.7109375" customWidth="1"/>
  </cols>
  <sheetData>
    <row r="1" spans="1:16" s="259" customFormat="1"/>
    <row r="2" spans="1:16" s="259" customFormat="1" ht="21">
      <c r="B2" s="262" t="s">
        <v>167</v>
      </c>
    </row>
    <row r="3" spans="1:16" s="259" customFormat="1" ht="15.75" thickBot="1"/>
    <row r="4" spans="1:16" s="259" customFormat="1" ht="21.75" thickBot="1">
      <c r="B4" s="347"/>
      <c r="C4" s="30">
        <v>2007</v>
      </c>
      <c r="D4" s="30">
        <f>C4+1</f>
        <v>2008</v>
      </c>
      <c r="E4" s="30">
        <f t="shared" ref="E4:K4" si="0">D4+1</f>
        <v>2009</v>
      </c>
      <c r="F4" s="30">
        <f t="shared" si="0"/>
        <v>2010</v>
      </c>
      <c r="G4" s="30">
        <f t="shared" si="0"/>
        <v>2011</v>
      </c>
      <c r="H4" s="30">
        <f t="shared" si="0"/>
        <v>2012</v>
      </c>
      <c r="I4" s="30">
        <f t="shared" si="0"/>
        <v>2013</v>
      </c>
      <c r="J4" s="30">
        <f t="shared" si="0"/>
        <v>2014</v>
      </c>
      <c r="K4" s="30">
        <f t="shared" si="0"/>
        <v>2015</v>
      </c>
      <c r="L4" s="30">
        <f>K4+1</f>
        <v>2016</v>
      </c>
      <c r="M4" s="30">
        <f>L4+1</f>
        <v>2017</v>
      </c>
      <c r="N4" s="30">
        <f>M4+1</f>
        <v>2018</v>
      </c>
    </row>
    <row r="5" spans="1:16" s="259" customFormat="1" ht="18.75">
      <c r="B5" s="348" t="s">
        <v>80</v>
      </c>
      <c r="C5" s="58">
        <v>105216</v>
      </c>
      <c r="D5" s="58">
        <v>124936</v>
      </c>
      <c r="E5" s="58">
        <f>D5*1.2</f>
        <v>149923.19999999998</v>
      </c>
      <c r="F5" s="58">
        <f>E5*1.15</f>
        <v>172411.67999999996</v>
      </c>
      <c r="G5" s="58">
        <f>F5*1.075</f>
        <v>185342.55599999995</v>
      </c>
      <c r="H5" s="58">
        <f>G5*1.05</f>
        <v>194609.68379999997</v>
      </c>
      <c r="I5" s="58">
        <f t="shared" ref="I5:N6" si="1">H5*1.03</f>
        <v>200447.97431399996</v>
      </c>
      <c r="J5" s="58">
        <f t="shared" si="1"/>
        <v>206461.41354341997</v>
      </c>
      <c r="K5" s="58">
        <f t="shared" si="1"/>
        <v>212655.25594972257</v>
      </c>
      <c r="L5" s="58">
        <f t="shared" si="1"/>
        <v>219034.91362821424</v>
      </c>
      <c r="M5" s="58">
        <f t="shared" si="1"/>
        <v>225605.96103706068</v>
      </c>
      <c r="N5" s="58">
        <f t="shared" si="1"/>
        <v>232374.1398681725</v>
      </c>
    </row>
    <row r="6" spans="1:16" s="259" customFormat="1" ht="18.75">
      <c r="B6" s="349" t="s">
        <v>104</v>
      </c>
      <c r="C6" s="153">
        <f>84953-C10</f>
        <v>80383</v>
      </c>
      <c r="D6" s="153">
        <f>106110-D10</f>
        <v>100010</v>
      </c>
      <c r="E6" s="153">
        <f>D6*1.15</f>
        <v>115011.49999999999</v>
      </c>
      <c r="F6" s="153">
        <f>E6*1.1</f>
        <v>126512.65</v>
      </c>
      <c r="G6" s="153">
        <f>F6*1.05</f>
        <v>132838.2825</v>
      </c>
      <c r="H6" s="153">
        <f>G6*1.03</f>
        <v>136823.430975</v>
      </c>
      <c r="I6" s="153">
        <f t="shared" si="1"/>
        <v>140928.13390424999</v>
      </c>
      <c r="J6" s="153">
        <f t="shared" si="1"/>
        <v>145155.97792137749</v>
      </c>
      <c r="K6" s="153">
        <f t="shared" si="1"/>
        <v>149510.65725901883</v>
      </c>
      <c r="L6" s="153">
        <f t="shared" si="1"/>
        <v>153995.97697678939</v>
      </c>
      <c r="M6" s="153">
        <f t="shared" si="1"/>
        <v>158615.85628609307</v>
      </c>
      <c r="N6" s="153">
        <f t="shared" si="1"/>
        <v>163374.33197467588</v>
      </c>
    </row>
    <row r="7" spans="1:16" s="259" customFormat="1" ht="18.75">
      <c r="B7" s="349" t="s">
        <v>81</v>
      </c>
      <c r="C7" s="153">
        <f t="shared" ref="C7:N7" si="2">C5-C6</f>
        <v>24833</v>
      </c>
      <c r="D7" s="153">
        <f t="shared" si="2"/>
        <v>24926</v>
      </c>
      <c r="E7" s="153">
        <f t="shared" si="2"/>
        <v>34911.699999999997</v>
      </c>
      <c r="F7" s="153">
        <f t="shared" si="2"/>
        <v>45899.02999999997</v>
      </c>
      <c r="G7" s="153">
        <f t="shared" si="2"/>
        <v>52504.273499999952</v>
      </c>
      <c r="H7" s="153">
        <f t="shared" si="2"/>
        <v>57786.252824999974</v>
      </c>
      <c r="I7" s="153">
        <f t="shared" si="2"/>
        <v>59519.840409749973</v>
      </c>
      <c r="J7" s="153">
        <f t="shared" si="2"/>
        <v>61305.435622042482</v>
      </c>
      <c r="K7" s="153">
        <f t="shared" si="2"/>
        <v>63144.598690703744</v>
      </c>
      <c r="L7" s="153">
        <f t="shared" si="2"/>
        <v>65038.936651424854</v>
      </c>
      <c r="M7" s="153">
        <f t="shared" si="2"/>
        <v>66990.104750967614</v>
      </c>
      <c r="N7" s="153">
        <f t="shared" si="2"/>
        <v>68999.807893496618</v>
      </c>
    </row>
    <row r="8" spans="1:16" s="259" customFormat="1" ht="18.75">
      <c r="B8" s="349" t="s">
        <v>86</v>
      </c>
      <c r="C8" s="153">
        <v>5433</v>
      </c>
      <c r="D8" s="153">
        <v>6590</v>
      </c>
      <c r="E8" s="153">
        <f>D8*1.2</f>
        <v>7908</v>
      </c>
      <c r="F8" s="153">
        <f>E8*1.15</f>
        <v>9094.1999999999989</v>
      </c>
      <c r="G8" s="153">
        <f>F8*1.075</f>
        <v>9776.2649999999976</v>
      </c>
      <c r="H8" s="153">
        <f>G8*1.05</f>
        <v>10265.078249999999</v>
      </c>
      <c r="I8" s="153">
        <f t="shared" ref="I8:N8" si="3">H8*1.03</f>
        <v>10573.030597499999</v>
      </c>
      <c r="J8" s="153">
        <f t="shared" si="3"/>
        <v>10890.221515424999</v>
      </c>
      <c r="K8" s="153">
        <f t="shared" si="3"/>
        <v>11216.92816088775</v>
      </c>
      <c r="L8" s="153">
        <f t="shared" si="3"/>
        <v>11553.436005714382</v>
      </c>
      <c r="M8" s="153">
        <f t="shared" si="3"/>
        <v>11900.039085885814</v>
      </c>
      <c r="N8" s="153">
        <f t="shared" si="3"/>
        <v>12257.040258462388</v>
      </c>
    </row>
    <row r="9" spans="1:16" s="259" customFormat="1" ht="19.5" thickBot="1">
      <c r="B9" s="350" t="s">
        <v>1</v>
      </c>
      <c r="C9" s="154">
        <f t="shared" ref="C9:N9" si="4">C7-C8</f>
        <v>19400</v>
      </c>
      <c r="D9" s="154">
        <f t="shared" si="4"/>
        <v>18336</v>
      </c>
      <c r="E9" s="154">
        <f t="shared" si="4"/>
        <v>27003.699999999997</v>
      </c>
      <c r="F9" s="154">
        <f t="shared" si="4"/>
        <v>36804.829999999973</v>
      </c>
      <c r="G9" s="154">
        <f t="shared" si="4"/>
        <v>42728.008499999953</v>
      </c>
      <c r="H9" s="154">
        <f t="shared" si="4"/>
        <v>47521.174574999975</v>
      </c>
      <c r="I9" s="154">
        <f t="shared" si="4"/>
        <v>48946.809812249972</v>
      </c>
      <c r="J9" s="154">
        <f t="shared" si="4"/>
        <v>50415.214106617481</v>
      </c>
      <c r="K9" s="154">
        <f t="shared" si="4"/>
        <v>51927.670529815994</v>
      </c>
      <c r="L9" s="154">
        <f t="shared" si="4"/>
        <v>53485.500645710476</v>
      </c>
      <c r="M9" s="154">
        <f t="shared" si="4"/>
        <v>55090.065665081798</v>
      </c>
      <c r="N9" s="154">
        <f t="shared" si="4"/>
        <v>56742.76763503423</v>
      </c>
    </row>
    <row r="10" spans="1:16" s="259" customFormat="1" ht="18.75">
      <c r="B10" s="351" t="s">
        <v>85</v>
      </c>
      <c r="C10" s="201">
        <v>4570</v>
      </c>
      <c r="D10" s="201">
        <v>6100</v>
      </c>
      <c r="E10" s="201">
        <f>D10*1.2</f>
        <v>7320</v>
      </c>
      <c r="F10" s="201">
        <f>E10*1.15</f>
        <v>8418</v>
      </c>
      <c r="G10" s="201">
        <f>F10*1.075</f>
        <v>9049.35</v>
      </c>
      <c r="H10" s="201">
        <f>G10*1.05</f>
        <v>9501.817500000001</v>
      </c>
      <c r="I10" s="201">
        <f t="shared" ref="I10:N10" si="5">H10*1.03</f>
        <v>9786.8720250000006</v>
      </c>
      <c r="J10" s="201">
        <f t="shared" si="5"/>
        <v>10080.47818575</v>
      </c>
      <c r="K10" s="201">
        <f t="shared" si="5"/>
        <v>10382.892531322501</v>
      </c>
      <c r="L10" s="201">
        <f t="shared" si="5"/>
        <v>10694.379307262176</v>
      </c>
      <c r="M10" s="201">
        <f t="shared" si="5"/>
        <v>11015.210686480041</v>
      </c>
      <c r="N10" s="201">
        <f t="shared" si="5"/>
        <v>11345.667007074442</v>
      </c>
    </row>
    <row r="11" spans="1:16" s="259" customFormat="1" ht="18.75">
      <c r="B11" s="352" t="s">
        <v>2</v>
      </c>
      <c r="C11" s="155">
        <f t="shared" ref="C11:N11" si="6">C9-C10</f>
        <v>14830</v>
      </c>
      <c r="D11" s="155">
        <f t="shared" si="6"/>
        <v>12236</v>
      </c>
      <c r="E11" s="155">
        <f t="shared" si="6"/>
        <v>19683.699999999997</v>
      </c>
      <c r="F11" s="155">
        <f t="shared" si="6"/>
        <v>28386.829999999973</v>
      </c>
      <c r="G11" s="155">
        <f t="shared" si="6"/>
        <v>33678.658499999954</v>
      </c>
      <c r="H11" s="155">
        <f t="shared" si="6"/>
        <v>38019.357074999978</v>
      </c>
      <c r="I11" s="155">
        <f t="shared" si="6"/>
        <v>39159.937787249975</v>
      </c>
      <c r="J11" s="155">
        <f t="shared" si="6"/>
        <v>40334.735920867482</v>
      </c>
      <c r="K11" s="155">
        <f t="shared" si="6"/>
        <v>41544.77799849349</v>
      </c>
      <c r="L11" s="155">
        <f t="shared" si="6"/>
        <v>42791.121338448298</v>
      </c>
      <c r="M11" s="155">
        <f t="shared" si="6"/>
        <v>44074.854978601754</v>
      </c>
      <c r="N11" s="155">
        <f t="shared" si="6"/>
        <v>45397.100627959786</v>
      </c>
    </row>
    <row r="12" spans="1:16" s="259" customFormat="1" ht="18.75">
      <c r="B12" s="352" t="s">
        <v>66</v>
      </c>
      <c r="C12" s="155">
        <f>C11*(1-$F$36)</f>
        <v>11623.754000000001</v>
      </c>
      <c r="D12" s="155">
        <f t="shared" ref="D12:N12" si="7">D11*(1-$F$36)</f>
        <v>9590.5768000000007</v>
      </c>
      <c r="E12" s="155">
        <f t="shared" si="7"/>
        <v>15428.084059999999</v>
      </c>
      <c r="F12" s="155">
        <f t="shared" si="7"/>
        <v>22249.59735399998</v>
      </c>
      <c r="G12" s="155">
        <f t="shared" si="7"/>
        <v>26397.332532299966</v>
      </c>
      <c r="H12" s="155">
        <f t="shared" si="7"/>
        <v>29799.572075384986</v>
      </c>
      <c r="I12" s="155">
        <f t="shared" si="7"/>
        <v>30693.559237646532</v>
      </c>
      <c r="J12" s="155">
        <f t="shared" si="7"/>
        <v>31614.366014775936</v>
      </c>
      <c r="K12" s="155">
        <f t="shared" si="7"/>
        <v>32562.7969952192</v>
      </c>
      <c r="L12" s="155">
        <f t="shared" si="7"/>
        <v>33539.68090507578</v>
      </c>
      <c r="M12" s="155">
        <f t="shared" si="7"/>
        <v>34545.87133222806</v>
      </c>
      <c r="N12" s="155">
        <f t="shared" si="7"/>
        <v>35582.247472194882</v>
      </c>
    </row>
    <row r="13" spans="1:16" s="259" customFormat="1" ht="19.5" thickBot="1">
      <c r="B13" s="353" t="s">
        <v>72</v>
      </c>
      <c r="C13" s="202">
        <f>'New company requested data'!D4-'New company requested data'!D5</f>
        <v>4570</v>
      </c>
      <c r="D13" s="202">
        <f>'New company requested data'!E4-'New company requested data'!E5</f>
        <v>6100</v>
      </c>
      <c r="E13" s="202">
        <f>D13*1.2</f>
        <v>7320</v>
      </c>
      <c r="F13" s="202">
        <f>E13*1.15</f>
        <v>8418</v>
      </c>
      <c r="G13" s="202">
        <f>F13*1.075</f>
        <v>9049.35</v>
      </c>
      <c r="H13" s="202">
        <f>G13*1.05</f>
        <v>9501.817500000001</v>
      </c>
      <c r="I13" s="202">
        <f t="shared" ref="I13:N14" si="8">H13*1.03</f>
        <v>9786.8720250000006</v>
      </c>
      <c r="J13" s="202">
        <f t="shared" si="8"/>
        <v>10080.47818575</v>
      </c>
      <c r="K13" s="202">
        <f t="shared" si="8"/>
        <v>10382.892531322501</v>
      </c>
      <c r="L13" s="202">
        <f t="shared" si="8"/>
        <v>10694.379307262176</v>
      </c>
      <c r="M13" s="202">
        <f t="shared" si="8"/>
        <v>11015.210686480041</v>
      </c>
      <c r="N13" s="202">
        <f t="shared" si="8"/>
        <v>11345.667007074442</v>
      </c>
    </row>
    <row r="14" spans="1:16" s="259" customFormat="1" ht="18.75">
      <c r="B14" s="354" t="s">
        <v>102</v>
      </c>
      <c r="C14" s="49">
        <f>'New company requested data'!D15</f>
        <v>101853</v>
      </c>
      <c r="D14" s="49">
        <f>'New company requested data'!E15</f>
        <v>103150</v>
      </c>
      <c r="E14" s="49">
        <f>D14*1.03</f>
        <v>106244.5</v>
      </c>
      <c r="F14" s="49">
        <f>E14*1.03</f>
        <v>109431.83500000001</v>
      </c>
      <c r="G14" s="49">
        <f>F14*1.03</f>
        <v>112714.79005000001</v>
      </c>
      <c r="H14" s="49">
        <f>G14*1.03</f>
        <v>116096.23375150001</v>
      </c>
      <c r="I14" s="49">
        <f t="shared" si="8"/>
        <v>119579.12076404502</v>
      </c>
      <c r="J14" s="49">
        <f t="shared" si="8"/>
        <v>123166.49438696637</v>
      </c>
      <c r="K14" s="49">
        <f t="shared" si="8"/>
        <v>126861.48921857537</v>
      </c>
      <c r="L14" s="49">
        <f t="shared" si="8"/>
        <v>130667.33389513263</v>
      </c>
      <c r="M14" s="49">
        <f t="shared" si="8"/>
        <v>134587.3539119866</v>
      </c>
      <c r="N14" s="49">
        <f t="shared" si="8"/>
        <v>138624.97452934622</v>
      </c>
    </row>
    <row r="15" spans="1:16" s="259" customFormat="1" ht="24" thickBot="1">
      <c r="A15" s="369"/>
      <c r="B15" s="370" t="s">
        <v>75</v>
      </c>
      <c r="C15" s="36">
        <f>'New company requested data'!D15-'New company requested data'!C15</f>
        <v>14956</v>
      </c>
      <c r="D15" s="36">
        <f>'New company requested data'!E15-'New company requested data'!D15</f>
        <v>1297</v>
      </c>
      <c r="E15" s="36">
        <f t="shared" ref="E15:N15" si="9">E14-D14</f>
        <v>3094.5</v>
      </c>
      <c r="F15" s="36">
        <f t="shared" si="9"/>
        <v>3187.3350000000064</v>
      </c>
      <c r="G15" s="36">
        <f t="shared" si="9"/>
        <v>3282.9550500000041</v>
      </c>
      <c r="H15" s="36">
        <f t="shared" si="9"/>
        <v>3381.4437015000003</v>
      </c>
      <c r="I15" s="36">
        <f t="shared" si="9"/>
        <v>3482.8870125450048</v>
      </c>
      <c r="J15" s="36">
        <f t="shared" si="9"/>
        <v>3587.3736229213537</v>
      </c>
      <c r="K15" s="36">
        <f t="shared" si="9"/>
        <v>3694.9948316090013</v>
      </c>
      <c r="L15" s="36">
        <f t="shared" si="9"/>
        <v>3805.8446765572589</v>
      </c>
      <c r="M15" s="36">
        <f t="shared" si="9"/>
        <v>3920.0200168539741</v>
      </c>
      <c r="N15" s="36">
        <f t="shared" si="9"/>
        <v>4037.6206173596147</v>
      </c>
    </row>
    <row r="16" spans="1:16" s="259" customFormat="1" ht="18.75">
      <c r="A16" s="260"/>
      <c r="B16" s="371" t="s">
        <v>67</v>
      </c>
      <c r="C16" s="273">
        <f>C12-C15</f>
        <v>-3332.2459999999992</v>
      </c>
      <c r="D16" s="266">
        <f t="shared" ref="D16:N16" si="10">D12-D15</f>
        <v>8293.5768000000007</v>
      </c>
      <c r="E16" s="273">
        <f t="shared" si="10"/>
        <v>12333.584059999999</v>
      </c>
      <c r="F16" s="266">
        <f t="shared" si="10"/>
        <v>19062.262353999973</v>
      </c>
      <c r="G16" s="266">
        <f t="shared" si="10"/>
        <v>23114.377482299962</v>
      </c>
      <c r="H16" s="266">
        <f t="shared" si="10"/>
        <v>26418.128373884985</v>
      </c>
      <c r="I16" s="266">
        <f t="shared" si="10"/>
        <v>27210.672225101527</v>
      </c>
      <c r="J16" s="266">
        <f t="shared" si="10"/>
        <v>28026.992391854583</v>
      </c>
      <c r="K16" s="266">
        <f t="shared" si="10"/>
        <v>28867.802163610198</v>
      </c>
      <c r="L16" s="266">
        <f t="shared" si="10"/>
        <v>29733.836228518521</v>
      </c>
      <c r="M16" s="266">
        <f t="shared" si="10"/>
        <v>30625.851315374086</v>
      </c>
      <c r="N16" s="266">
        <f t="shared" si="10"/>
        <v>31544.626854835267</v>
      </c>
      <c r="O16" s="239"/>
      <c r="P16" s="372"/>
    </row>
    <row r="17" spans="1:16" s="259" customFormat="1" ht="18.75">
      <c r="A17" s="260"/>
      <c r="B17" s="373" t="s">
        <v>76</v>
      </c>
      <c r="C17" s="268"/>
      <c r="D17" s="267"/>
      <c r="E17" s="268"/>
      <c r="F17" s="267"/>
      <c r="G17" s="267"/>
      <c r="H17" s="267"/>
      <c r="I17" s="267"/>
      <c r="J17" s="267"/>
      <c r="K17" s="267"/>
      <c r="L17" s="267"/>
      <c r="M17" s="267"/>
      <c r="N17" s="267">
        <f>N16/('WACC projection'!H43-3%)</f>
        <v>933712.63022028178</v>
      </c>
      <c r="P17" s="417"/>
    </row>
    <row r="18" spans="1:16" s="259" customFormat="1" ht="19.5" thickBot="1">
      <c r="A18" s="260"/>
      <c r="B18" s="374" t="s">
        <v>41</v>
      </c>
      <c r="C18" s="276">
        <f>'WACC projection'!C40</f>
        <v>7.9372594929985524E-2</v>
      </c>
      <c r="D18" s="269">
        <f>'WACC projection'!D40</f>
        <v>6.5596416097468954E-2</v>
      </c>
      <c r="E18" s="270">
        <f>'WACC projection'!E40</f>
        <v>3.1798219513967219E-2</v>
      </c>
      <c r="F18" s="269">
        <f>'WACC projection'!F40</f>
        <v>5.7232443738254313E-2</v>
      </c>
      <c r="G18" s="269">
        <f>'WACC projection'!G40</f>
        <v>5.9632732301761138E-2</v>
      </c>
      <c r="H18" s="269">
        <f>'WACC projection'!H40</f>
        <v>6.1708408564840056E-2</v>
      </c>
      <c r="I18" s="269">
        <f>'WACC projection'!C43</f>
        <v>6.2746246696379293E-2</v>
      </c>
      <c r="J18" s="269">
        <f>'WACC projection'!D43</f>
        <v>6.3784084827919418E-2</v>
      </c>
      <c r="K18" s="269">
        <f>'WACC projection'!E43</f>
        <v>6.3784084827919196E-2</v>
      </c>
      <c r="L18" s="269">
        <f>'WACC projection'!F43</f>
        <v>6.3784084630288396E-2</v>
      </c>
      <c r="M18" s="269">
        <f>'WACC projection'!G43</f>
        <v>6.3784084765933224E-2</v>
      </c>
      <c r="N18" s="269">
        <f>'WACC projection'!H43</f>
        <v>6.3784084989182643E-2</v>
      </c>
    </row>
    <row r="19" spans="1:16" s="259" customFormat="1" ht="18.75">
      <c r="A19" s="260"/>
      <c r="B19" s="349" t="s">
        <v>197</v>
      </c>
      <c r="C19" s="193">
        <f>1/(1+'WACC projection'!C40)^0</f>
        <v>1</v>
      </c>
      <c r="D19" s="193">
        <f t="shared" ref="D19:N19" si="11">C19*(1/(1+D18))</f>
        <v>0.93844159467267874</v>
      </c>
      <c r="E19" s="193">
        <f t="shared" si="11"/>
        <v>0.90952046332735048</v>
      </c>
      <c r="F19" s="193">
        <f t="shared" si="11"/>
        <v>0.86028429104141846</v>
      </c>
      <c r="G19" s="193">
        <f t="shared" si="11"/>
        <v>0.81187024977294442</v>
      </c>
      <c r="H19" s="193">
        <f t="shared" si="11"/>
        <v>0.76468288583151245</v>
      </c>
      <c r="I19" s="193">
        <f t="shared" si="11"/>
        <v>0.71953477907692676</v>
      </c>
      <c r="J19" s="193">
        <f t="shared" si="11"/>
        <v>0.67639175029895338</v>
      </c>
      <c r="K19" s="193">
        <f t="shared" si="11"/>
        <v>0.63583556094314797</v>
      </c>
      <c r="L19" s="193">
        <f t="shared" si="11"/>
        <v>0.59771110522313253</v>
      </c>
      <c r="M19" s="193">
        <f t="shared" si="11"/>
        <v>0.56187257713547034</v>
      </c>
      <c r="N19" s="193">
        <f t="shared" si="11"/>
        <v>0.52818291330348666</v>
      </c>
    </row>
    <row r="20" spans="1:16" s="259" customFormat="1" ht="18.75">
      <c r="A20" s="260"/>
      <c r="B20" s="349" t="s">
        <v>68</v>
      </c>
      <c r="C20" s="35">
        <f>C16*C19</f>
        <v>-3332.2459999999992</v>
      </c>
      <c r="D20" s="35">
        <f t="shared" ref="D20:L20" si="12">D16*D19</f>
        <v>7783.0374377323324</v>
      </c>
      <c r="E20" s="35">
        <f t="shared" si="12"/>
        <v>11217.647088738024</v>
      </c>
      <c r="F20" s="35">
        <f t="shared" si="12"/>
        <v>16398.964854856389</v>
      </c>
      <c r="G20" s="35">
        <f t="shared" si="12"/>
        <v>18765.875419900993</v>
      </c>
      <c r="H20" s="35">
        <f t="shared" si="12"/>
        <v>20201.49064320973</v>
      </c>
      <c r="I20" s="35">
        <f t="shared" si="12"/>
        <v>19579.025028023094</v>
      </c>
      <c r="J20" s="35">
        <f t="shared" si="12"/>
        <v>18957.22643954197</v>
      </c>
      <c r="K20" s="35">
        <f t="shared" si="12"/>
        <v>18355.175181894912</v>
      </c>
      <c r="L20" s="35">
        <f t="shared" si="12"/>
        <v>17772.244114671423</v>
      </c>
      <c r="M20" s="35">
        <f>M16*M19</f>
        <v>17207.826005536972</v>
      </c>
      <c r="N20" s="35">
        <f>N16*N19</f>
        <v>16661.332911258294</v>
      </c>
    </row>
    <row r="21" spans="1:16" s="259" customFormat="1" ht="19.5" thickBot="1">
      <c r="A21" s="260"/>
      <c r="B21" s="350" t="s">
        <v>77</v>
      </c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36">
        <f>N17*N19</f>
        <v>493171.05721800961</v>
      </c>
    </row>
    <row r="22" spans="1:16" s="259" customFormat="1" ht="18.75">
      <c r="A22" s="260"/>
      <c r="B22" s="351" t="s">
        <v>237</v>
      </c>
      <c r="C22" s="155">
        <f>SUM(C20:N21)</f>
        <v>672738.6563433737</v>
      </c>
      <c r="D22" s="256"/>
      <c r="E22" s="256"/>
      <c r="F22" s="256"/>
      <c r="G22" s="256"/>
      <c r="H22" s="256"/>
      <c r="I22" s="256"/>
      <c r="J22" s="256"/>
      <c r="K22" s="256"/>
      <c r="L22" s="256"/>
      <c r="M22" s="256"/>
      <c r="N22" s="256"/>
    </row>
    <row r="23" spans="1:16" s="259" customFormat="1" ht="23.25">
      <c r="A23" s="369"/>
      <c r="B23" s="352" t="s">
        <v>78</v>
      </c>
      <c r="C23" s="155">
        <v>8105</v>
      </c>
      <c r="D23" s="256"/>
      <c r="E23" s="256"/>
      <c r="F23" s="256"/>
      <c r="G23" s="256"/>
      <c r="H23" s="256"/>
      <c r="I23" s="256"/>
      <c r="J23" s="256"/>
      <c r="K23" s="256"/>
      <c r="L23" s="256"/>
      <c r="M23" s="256"/>
      <c r="N23" s="256"/>
    </row>
    <row r="24" spans="1:16" s="259" customFormat="1" ht="23.25">
      <c r="A24" s="369"/>
      <c r="B24" s="352" t="s">
        <v>69</v>
      </c>
      <c r="C24" s="155">
        <f>C22+C23</f>
        <v>680843.6563433737</v>
      </c>
      <c r="D24" s="256"/>
      <c r="E24" s="256"/>
      <c r="F24" s="256"/>
      <c r="G24" s="256"/>
      <c r="H24" s="256"/>
      <c r="I24" s="256"/>
      <c r="J24" s="256"/>
      <c r="K24" s="256"/>
      <c r="L24" s="256"/>
      <c r="M24" s="256"/>
      <c r="N24" s="256"/>
    </row>
    <row r="25" spans="1:16" s="259" customFormat="1" ht="23.25">
      <c r="A25" s="369"/>
      <c r="B25" s="352" t="s">
        <v>70</v>
      </c>
      <c r="C25" s="155">
        <v>63985</v>
      </c>
      <c r="D25" s="256"/>
      <c r="E25" s="256"/>
      <c r="F25" s="256"/>
      <c r="G25" s="256"/>
      <c r="H25" s="256"/>
      <c r="I25" s="256"/>
      <c r="J25" s="256"/>
      <c r="K25" s="256"/>
      <c r="L25" s="256"/>
      <c r="M25" s="256"/>
      <c r="N25" s="256"/>
    </row>
    <row r="26" spans="1:16" s="259" customFormat="1" ht="24" thickBot="1">
      <c r="A26" s="375"/>
      <c r="B26" s="353" t="s">
        <v>71</v>
      </c>
      <c r="C26" s="202">
        <f>C24-C25</f>
        <v>616858.6563433737</v>
      </c>
      <c r="D26" s="256"/>
      <c r="E26" s="256"/>
      <c r="F26" s="256"/>
      <c r="G26" s="256"/>
      <c r="H26" s="256"/>
      <c r="I26" s="256"/>
      <c r="J26" s="256"/>
      <c r="K26" s="256"/>
      <c r="L26" s="256"/>
      <c r="M26" s="256"/>
      <c r="N26" s="256"/>
    </row>
    <row r="27" spans="1:16" s="260" customFormat="1" ht="18.75">
      <c r="B27" s="376"/>
      <c r="C27" s="218"/>
      <c r="D27" s="218"/>
      <c r="E27" s="218"/>
      <c r="F27" s="218"/>
      <c r="G27" s="218"/>
      <c r="H27" s="218"/>
      <c r="I27" s="218"/>
      <c r="J27" s="218"/>
      <c r="K27" s="218"/>
      <c r="L27" s="218"/>
      <c r="M27" s="218"/>
      <c r="N27" s="218"/>
    </row>
    <row r="28" spans="1:16" s="260" customFormat="1" ht="18.75">
      <c r="B28" s="376"/>
      <c r="C28" s="218"/>
      <c r="D28" s="218"/>
      <c r="E28" s="218"/>
      <c r="F28" s="218"/>
      <c r="G28" s="218"/>
      <c r="H28" s="218"/>
      <c r="I28" s="218"/>
      <c r="J28" s="218"/>
      <c r="K28" s="218"/>
      <c r="L28" s="218"/>
      <c r="M28" s="218"/>
      <c r="N28" s="218"/>
    </row>
    <row r="29" spans="1:16" s="260" customFormat="1">
      <c r="B29" s="260" t="s">
        <v>164</v>
      </c>
    </row>
    <row r="30" spans="1:16" s="260" customFormat="1">
      <c r="B30" s="260" t="s">
        <v>103</v>
      </c>
    </row>
    <row r="31" spans="1:16" s="260" customFormat="1">
      <c r="B31" s="260" t="s">
        <v>173</v>
      </c>
    </row>
    <row r="32" spans="1:16" s="260" customFormat="1"/>
    <row r="33" spans="2:15" s="260" customFormat="1" ht="19.5" thickBot="1">
      <c r="B33" s="261" t="s">
        <v>165</v>
      </c>
    </row>
    <row r="34" spans="2:15" s="260" customFormat="1">
      <c r="B34" s="366" t="s">
        <v>82</v>
      </c>
      <c r="C34" s="253">
        <f>D5/C5-1</f>
        <v>0.1874239659367396</v>
      </c>
      <c r="D34" s="378"/>
      <c r="E34" s="378"/>
      <c r="F34" s="378"/>
      <c r="G34" s="378"/>
      <c r="H34" s="378"/>
      <c r="I34" s="378"/>
      <c r="J34" s="378"/>
      <c r="K34" s="378"/>
      <c r="L34" s="378"/>
      <c r="M34" s="378"/>
      <c r="N34" s="378"/>
      <c r="O34" s="264"/>
    </row>
    <row r="35" spans="2:15" s="260" customFormat="1" ht="15.75" thickBot="1">
      <c r="B35" s="367" t="s">
        <v>83</v>
      </c>
      <c r="C35" s="254">
        <f>D8/C8-1</f>
        <v>0.21295785017485724</v>
      </c>
      <c r="D35" s="378"/>
      <c r="E35" s="424" t="s">
        <v>166</v>
      </c>
      <c r="F35" s="424"/>
      <c r="G35" s="378"/>
      <c r="H35" s="378"/>
      <c r="I35" s="378"/>
      <c r="J35" s="378"/>
      <c r="K35" s="378"/>
      <c r="L35" s="378"/>
      <c r="M35" s="378"/>
      <c r="N35" s="378"/>
      <c r="O35" s="264"/>
    </row>
    <row r="36" spans="2:15" s="260" customFormat="1" ht="15.75" thickBot="1">
      <c r="B36" s="367" t="s">
        <v>73</v>
      </c>
      <c r="C36" s="254">
        <f>C12/D12-1</f>
        <v>0.21199738476626351</v>
      </c>
      <c r="D36" s="378"/>
      <c r="E36" s="379" t="s">
        <v>84</v>
      </c>
      <c r="F36" s="380">
        <v>0.2162</v>
      </c>
      <c r="G36" s="378"/>
      <c r="H36" s="378"/>
      <c r="I36" s="378"/>
      <c r="J36" s="378"/>
      <c r="K36" s="378"/>
      <c r="L36" s="378"/>
      <c r="M36" s="378"/>
      <c r="N36" s="378"/>
      <c r="O36" s="264"/>
    </row>
    <row r="37" spans="2:15" s="260" customFormat="1" ht="15.75" thickBot="1">
      <c r="B37" s="368" t="s">
        <v>168</v>
      </c>
      <c r="C37" s="255">
        <f>D13/C13-1</f>
        <v>0.33479212253829327</v>
      </c>
      <c r="D37" s="378"/>
      <c r="E37" s="378"/>
      <c r="F37" s="378"/>
      <c r="G37" s="378"/>
      <c r="H37" s="378"/>
      <c r="I37" s="378"/>
      <c r="J37" s="378"/>
      <c r="K37" s="378"/>
      <c r="L37" s="378"/>
      <c r="M37" s="378"/>
      <c r="N37" s="378"/>
      <c r="O37" s="264"/>
    </row>
    <row r="38" spans="2:15" s="260" customFormat="1">
      <c r="D38" s="264"/>
      <c r="E38" s="264"/>
      <c r="F38" s="264"/>
      <c r="G38" s="264"/>
      <c r="H38" s="264"/>
      <c r="I38" s="264"/>
      <c r="J38" s="264"/>
      <c r="K38" s="264"/>
      <c r="L38" s="264"/>
      <c r="M38" s="264"/>
      <c r="N38" s="264"/>
      <c r="O38" s="264"/>
    </row>
    <row r="39" spans="2:15" s="260" customFormat="1"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</row>
    <row r="40" spans="2:15" s="33" customFormat="1"/>
    <row r="41" spans="2:15" s="33" customFormat="1"/>
    <row r="42" spans="2:15" s="33" customFormat="1"/>
    <row r="43" spans="2:15" s="33" customFormat="1"/>
  </sheetData>
  <mergeCells count="1">
    <mergeCell ref="E35:F35"/>
  </mergeCells>
  <phoneticPr fontId="7" type="noConversion"/>
  <pageMargins left="0.511811024" right="0.511811024" top="0.78740157499999996" bottom="0.78740157499999996" header="0.31496062000000002" footer="0.31496062000000002"/>
  <pageSetup paperSize="9" scale="63" orientation="landscape" horizontalDpi="300" verticalDpi="300" r:id="rId1"/>
  <ignoredErrors>
    <ignoredError sqref="E8:N8 I7:J7 H9:N9 K7:N7 E10:I10 E9:G9 J10:N1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44"/>
  <sheetViews>
    <sheetView zoomScale="70" zoomScaleNormal="70" workbookViewId="0"/>
  </sheetViews>
  <sheetFormatPr defaultRowHeight="15"/>
  <cols>
    <col min="1" max="1" width="10.7109375" customWidth="1"/>
    <col min="2" max="2" width="45.85546875" bestFit="1" customWidth="1"/>
    <col min="3" max="3" width="12.7109375" customWidth="1"/>
    <col min="4" max="4" width="12.5703125" customWidth="1"/>
    <col min="5" max="5" width="13" customWidth="1"/>
    <col min="6" max="14" width="12.5703125" customWidth="1"/>
  </cols>
  <sheetData>
    <row r="1" spans="2:14" s="259" customFormat="1"/>
    <row r="2" spans="2:14" s="259" customFormat="1" ht="21">
      <c r="B2" s="262" t="s">
        <v>196</v>
      </c>
    </row>
    <row r="3" spans="2:14" s="259" customFormat="1" ht="15.75" thickBot="1"/>
    <row r="4" spans="2:14" s="259" customFormat="1" ht="21.75" thickBot="1">
      <c r="B4" s="381"/>
      <c r="C4" s="78">
        <v>2007</v>
      </c>
      <c r="D4" s="29">
        <f>C4+1</f>
        <v>2008</v>
      </c>
      <c r="E4" s="236">
        <f t="shared" ref="E4:K4" si="0">D4+1</f>
        <v>2009</v>
      </c>
      <c r="F4" s="29">
        <f t="shared" si="0"/>
        <v>2010</v>
      </c>
      <c r="G4" s="236">
        <f t="shared" si="0"/>
        <v>2011</v>
      </c>
      <c r="H4" s="29">
        <f t="shared" si="0"/>
        <v>2012</v>
      </c>
      <c r="I4" s="236">
        <f t="shared" si="0"/>
        <v>2013</v>
      </c>
      <c r="J4" s="29">
        <f t="shared" si="0"/>
        <v>2014</v>
      </c>
      <c r="K4" s="236">
        <f t="shared" si="0"/>
        <v>2015</v>
      </c>
      <c r="L4" s="29">
        <f>K4+1</f>
        <v>2016</v>
      </c>
      <c r="M4" s="236">
        <f>L4+1</f>
        <v>2017</v>
      </c>
      <c r="N4" s="29">
        <f>M4+1</f>
        <v>2018</v>
      </c>
    </row>
    <row r="5" spans="2:14" s="259" customFormat="1" ht="18.75">
      <c r="B5" s="382" t="s">
        <v>80</v>
      </c>
      <c r="C5" s="308">
        <f>'Projection-Future CF- AM '!C5-'Projection-Future CF SUMCOMPANY'!F5</f>
        <v>38578.148060726075</v>
      </c>
      <c r="D5" s="308">
        <f>'Projection-Future CF- AM '!D5-'Projection-Future CF SUMCOMPANY'!G5</f>
        <v>56299.012502547848</v>
      </c>
      <c r="E5" s="308">
        <f>'Projection-Future CF- AM '!E5-'Projection-Future CF SUMCOMPANY'!H5</f>
        <v>79227.10287762426</v>
      </c>
      <c r="F5" s="308">
        <f>'Projection-Future CF- AM '!F5-'Projection-Future CF SUMCOMPANY'!I5</f>
        <v>99594.699963952968</v>
      </c>
      <c r="G5" s="308">
        <f>'Projection-Future CF- AM '!G5-'Projection-Future CF SUMCOMPANY'!J5</f>
        <v>110341.06656287155</v>
      </c>
      <c r="H5" s="308">
        <f>'Projection-Future CF- AM '!H5-'Projection-Future CF SUMCOMPANY'!K5</f>
        <v>117358.14967975771</v>
      </c>
      <c r="I5" s="308">
        <f>'Projection-Future CF- AM '!I5-'Projection-Future CF SUMCOMPANY'!L5</f>
        <v>120878.89417015044</v>
      </c>
      <c r="J5" s="308">
        <f>'Projection-Future CF- AM '!J5-'Projection-Future CF SUMCOMPANY'!M5</f>
        <v>124505.26099525495</v>
      </c>
      <c r="K5" s="308">
        <f>'Projection-Future CF- AM '!K5-'Projection-Future CF SUMCOMPANY'!N5</f>
        <v>128240.4188251126</v>
      </c>
      <c r="L5" s="308">
        <f>'Projection-Future CF- AM '!L5-'Projection-Future CF SUMCOMPANY'!O5</f>
        <v>132087.63138986597</v>
      </c>
      <c r="M5" s="308">
        <f>'Projection-Future CF- AM '!M5-'Projection-Future CF SUMCOMPANY'!P5</f>
        <v>136050.26033156196</v>
      </c>
      <c r="N5" s="314">
        <f>'Projection-Future CF- AM '!N5-'Projection-Future CF SUMCOMPANY'!Q5</f>
        <v>140131.7681415088</v>
      </c>
    </row>
    <row r="6" spans="2:14" s="259" customFormat="1" ht="18.75">
      <c r="B6" s="383" t="s">
        <v>104</v>
      </c>
      <c r="C6" s="309">
        <f>'Projection-Future CF- AM '!C6-'Projection-Future CF SUMCOMPANY'!F6</f>
        <v>29896.849599999994</v>
      </c>
      <c r="D6" s="309">
        <f>'Projection-Future CF- AM '!D6-'Projection-Future CF SUMCOMPANY'!G6</f>
        <v>48009.265087999993</v>
      </c>
      <c r="E6" s="309">
        <f>'Projection-Future CF- AM '!E6-'Projection-Future CF SUMCOMPANY'!H6</f>
        <v>61450.74304063998</v>
      </c>
      <c r="F6" s="309">
        <f>'Projection-Future CF- AM '!F6-'Projection-Future CF SUMCOMPANY'!I6</f>
        <v>71345.070331859184</v>
      </c>
      <c r="G6" s="309">
        <f>'Projection-Future CF- AM '!G6-'Projection-Future CF SUMCOMPANY'!J6</f>
        <v>76015.675441814965</v>
      </c>
      <c r="H6" s="309">
        <f>'Projection-Future CF- AM '!H6-'Projection-Future CF SUMCOMPANY'!K6</f>
        <v>78296.145705069415</v>
      </c>
      <c r="I6" s="309">
        <f>'Projection-Future CF- AM '!I6-'Projection-Future CF SUMCOMPANY'!L6</f>
        <v>80645.030076221476</v>
      </c>
      <c r="J6" s="309">
        <f>'Projection-Future CF- AM '!J6-'Projection-Future CF SUMCOMPANY'!M6</f>
        <v>83064.380978508125</v>
      </c>
      <c r="K6" s="309">
        <f>'Projection-Future CF- AM '!K6-'Projection-Future CF SUMCOMPANY'!N6</f>
        <v>85556.312407863385</v>
      </c>
      <c r="L6" s="309">
        <f>'Projection-Future CF- AM '!L6-'Projection-Future CF SUMCOMPANY'!O6</f>
        <v>88123.001780099279</v>
      </c>
      <c r="M6" s="309">
        <f>'Projection-Future CF- AM '!M6-'Projection-Future CF SUMCOMPANY'!P6</f>
        <v>90766.691833502249</v>
      </c>
      <c r="N6" s="345">
        <f>'Projection-Future CF- AM '!N6-'Projection-Future CF SUMCOMPANY'!Q6</f>
        <v>93489.692588507329</v>
      </c>
    </row>
    <row r="7" spans="2:14" s="259" customFormat="1" ht="18.75">
      <c r="B7" s="383" t="s">
        <v>81</v>
      </c>
      <c r="C7" s="309">
        <f>'Projection-Future CF- AM '!C7-'Projection-Future CF SUMCOMPANY'!F7</f>
        <v>8681.2984607260805</v>
      </c>
      <c r="D7" s="309">
        <f>'Projection-Future CF- AM '!D7-'Projection-Future CF SUMCOMPANY'!G7</f>
        <v>8289.7474145478554</v>
      </c>
      <c r="E7" s="309">
        <f>'Projection-Future CF- AM '!E7-'Projection-Future CF SUMCOMPANY'!H7</f>
        <v>17776.35983698428</v>
      </c>
      <c r="F7" s="309">
        <f>'Projection-Future CF- AM '!F7-'Projection-Future CF SUMCOMPANY'!I7</f>
        <v>28249.629632093784</v>
      </c>
      <c r="G7" s="309">
        <f>'Projection-Future CF- AM '!G7-'Projection-Future CF SUMCOMPANY'!J7</f>
        <v>34325.391121056586</v>
      </c>
      <c r="H7" s="309">
        <f>'Projection-Future CF- AM '!H7-'Projection-Future CF SUMCOMPANY'!K7</f>
        <v>39062.003974688305</v>
      </c>
      <c r="I7" s="309">
        <f>'Projection-Future CF- AM '!I7-'Projection-Future CF SUMCOMPANY'!L7</f>
        <v>40233.864093928954</v>
      </c>
      <c r="J7" s="309">
        <f>'Projection-Future CF- AM '!J7-'Projection-Future CF SUMCOMPANY'!M7</f>
        <v>41440.880016746829</v>
      </c>
      <c r="K7" s="309">
        <f>'Projection-Future CF- AM '!K7-'Projection-Future CF SUMCOMPANY'!N7</f>
        <v>42684.106417249219</v>
      </c>
      <c r="L7" s="309">
        <f>'Projection-Future CF- AM '!L7-'Projection-Future CF SUMCOMPANY'!O7</f>
        <v>43964.629609766693</v>
      </c>
      <c r="M7" s="309">
        <f>'Projection-Future CF- AM '!M7-'Projection-Future CF SUMCOMPANY'!P7</f>
        <v>45283.568498059714</v>
      </c>
      <c r="N7" s="345">
        <f>'Projection-Future CF- AM '!N7-'Projection-Future CF SUMCOMPANY'!Q7</f>
        <v>46642.075553001487</v>
      </c>
    </row>
    <row r="8" spans="2:14" s="259" customFormat="1" ht="18.75">
      <c r="B8" s="383" t="s">
        <v>86</v>
      </c>
      <c r="C8" s="309">
        <f>'Projection-Future CF- AM '!C8-'Projection-Future CF SUMCOMPANY'!F8</f>
        <v>3386.4428937293728</v>
      </c>
      <c r="D8" s="309">
        <f>'Projection-Future CF- AM '!D8-'Projection-Future CF SUMCOMPANY'!G8</f>
        <v>4482.0461805412542</v>
      </c>
      <c r="E8" s="309">
        <f>'Projection-Future CF- AM '!E8-'Projection-Future CF SUMCOMPANY'!H8</f>
        <v>5736.8075659574915</v>
      </c>
      <c r="F8" s="309">
        <f>'Projection-Future CF- AM '!F8-'Projection-Future CF SUMCOMPANY'!I8</f>
        <v>6857.8717929362156</v>
      </c>
      <c r="G8" s="309">
        <f>'Projection-Future CF- AM '!G8-'Projection-Future CF SUMCOMPANY'!J8</f>
        <v>7472.8469467243003</v>
      </c>
      <c r="H8" s="309">
        <f>'Projection-Future CF- AM '!H8-'Projection-Future CF SUMCOMPANY'!K8</f>
        <v>7892.557655126031</v>
      </c>
      <c r="I8" s="309">
        <f>'Projection-Future CF- AM '!I8-'Projection-Future CF SUMCOMPANY'!L8</f>
        <v>8129.3343847798114</v>
      </c>
      <c r="J8" s="309">
        <f>'Projection-Future CF- AM '!J8-'Projection-Future CF SUMCOMPANY'!M8</f>
        <v>8373.214416323206</v>
      </c>
      <c r="K8" s="309">
        <f>'Projection-Future CF- AM '!K8-'Projection-Future CF SUMCOMPANY'!N8</f>
        <v>8624.4108488129023</v>
      </c>
      <c r="L8" s="309">
        <f>'Projection-Future CF- AM '!L8-'Projection-Future CF SUMCOMPANY'!O8</f>
        <v>8883.1431742772893</v>
      </c>
      <c r="M8" s="309">
        <f>'Projection-Future CF- AM '!M8-'Projection-Future CF SUMCOMPANY'!P8</f>
        <v>9149.6374695056074</v>
      </c>
      <c r="N8" s="345">
        <f>'Projection-Future CF- AM '!N8-'Projection-Future CF SUMCOMPANY'!Q8</f>
        <v>9424.1265935907759</v>
      </c>
    </row>
    <row r="9" spans="2:14" s="259" customFormat="1" ht="19.5" thickBot="1">
      <c r="B9" s="384" t="s">
        <v>1</v>
      </c>
      <c r="C9" s="310">
        <f>'Projection-Future CF- AM '!C9-'Projection-Future CF SUMCOMPANY'!F9</f>
        <v>5294.8555669967081</v>
      </c>
      <c r="D9" s="310">
        <f>'Projection-Future CF- AM '!D9-'Projection-Future CF SUMCOMPANY'!G9</f>
        <v>3807.7012340066012</v>
      </c>
      <c r="E9" s="310">
        <f>'Projection-Future CF- AM '!E9-'Projection-Future CF SUMCOMPANY'!H9</f>
        <v>12039.552271026789</v>
      </c>
      <c r="F9" s="310">
        <f>'Projection-Future CF- AM '!F9-'Projection-Future CF SUMCOMPANY'!I9</f>
        <v>21391.75783915757</v>
      </c>
      <c r="G9" s="310">
        <f>'Projection-Future CF- AM '!G9-'Projection-Future CF SUMCOMPANY'!J9</f>
        <v>26852.544174332284</v>
      </c>
      <c r="H9" s="310">
        <f>'Projection-Future CF- AM '!H9-'Projection-Future CF SUMCOMPANY'!K9</f>
        <v>31169.446319562274</v>
      </c>
      <c r="I9" s="310">
        <f>'Projection-Future CF- AM '!I9-'Projection-Future CF SUMCOMPANY'!L9</f>
        <v>32104.529709149141</v>
      </c>
      <c r="J9" s="310">
        <f>'Projection-Future CF- AM '!J9-'Projection-Future CF SUMCOMPANY'!M9</f>
        <v>33067.665600423621</v>
      </c>
      <c r="K9" s="310">
        <f>'Projection-Future CF- AM '!K9-'Projection-Future CF SUMCOMPANY'!N9</f>
        <v>34059.69556843632</v>
      </c>
      <c r="L9" s="310">
        <f>'Projection-Future CF- AM '!L9-'Projection-Future CF SUMCOMPANY'!O9</f>
        <v>35081.486435489409</v>
      </c>
      <c r="M9" s="310">
        <f>'Projection-Future CF- AM '!M9-'Projection-Future CF SUMCOMPANY'!P9</f>
        <v>36133.9310285541</v>
      </c>
      <c r="N9" s="346">
        <f>'Projection-Future CF- AM '!N9-'Projection-Future CF SUMCOMPANY'!Q9</f>
        <v>37217.948959410714</v>
      </c>
    </row>
    <row r="10" spans="2:14" s="259" customFormat="1" ht="18.75">
      <c r="B10" s="385" t="s">
        <v>85</v>
      </c>
      <c r="C10" s="274">
        <f>'Projection-Future CF- AM '!C10-'Projection-Future CF SUMCOMPANY'!F10</f>
        <v>2372.3919999999994</v>
      </c>
      <c r="D10" s="274">
        <f>'Projection-Future CF- AM '!D10-'Projection-Future CF SUMCOMPANY'!G10</f>
        <v>3836.4637599999992</v>
      </c>
      <c r="E10" s="274">
        <f>'Projection-Future CF- AM '!E10-'Projection-Future CF SUMCOMPANY'!H10</f>
        <v>4988.5576727999996</v>
      </c>
      <c r="F10" s="274">
        <f>'Projection-Future CF- AM '!F10-'Projection-Future CF SUMCOMPANY'!I10</f>
        <v>6016.6144029839998</v>
      </c>
      <c r="G10" s="266">
        <f>'Projection-Future CF- AM '!G10-'Projection-Future CF SUMCOMPANY'!J10</f>
        <v>6575.9228350735193</v>
      </c>
      <c r="H10" s="268">
        <f>'Projection-Future CF- AM '!H10-'Projection-Future CF SUMCOMPANY'!K10</f>
        <v>6954.1875201257262</v>
      </c>
      <c r="I10" s="266">
        <f>'Projection-Future CF- AM '!I10-'Projection-Future CF SUMCOMPANY'!L10</f>
        <v>7162.8131457294967</v>
      </c>
      <c r="J10" s="268">
        <f>'Projection-Future CF- AM '!J10-'Projection-Future CF SUMCOMPANY'!M10</f>
        <v>7377.6975401013815</v>
      </c>
      <c r="K10" s="266">
        <f>'Projection-Future CF- AM '!K10-'Projection-Future CF SUMCOMPANY'!N10</f>
        <v>7599.028466304424</v>
      </c>
      <c r="L10" s="268">
        <f>'Projection-Future CF- AM '!L10-'Projection-Future CF SUMCOMPANY'!O10</f>
        <v>7826.9993202935566</v>
      </c>
      <c r="M10" s="266">
        <f>'Projection-Future CF- AM '!M10-'Projection-Future CF SUMCOMPANY'!P10</f>
        <v>8061.8092999023629</v>
      </c>
      <c r="N10" s="277">
        <f>'Projection-Future CF- AM '!N10-'Projection-Future CF SUMCOMPANY'!Q10</f>
        <v>8303.6635788994336</v>
      </c>
    </row>
    <row r="11" spans="2:14" s="259" customFormat="1" ht="18.75">
      <c r="B11" s="386" t="s">
        <v>2</v>
      </c>
      <c r="C11" s="274">
        <f>'Projection-Future CF- AM '!C11-'Projection-Future CF SUMCOMPANY'!F11</f>
        <v>2922.4635669967083</v>
      </c>
      <c r="D11" s="274">
        <f>'Projection-Future CF- AM '!D11-'Projection-Future CF SUMCOMPANY'!G11</f>
        <v>-28.762525993397503</v>
      </c>
      <c r="E11" s="274">
        <f>'Projection-Future CF- AM '!E11-'Projection-Future CF SUMCOMPANY'!H11</f>
        <v>7050.9945982267891</v>
      </c>
      <c r="F11" s="274">
        <f>'Projection-Future CF- AM '!F11-'Projection-Future CF SUMCOMPANY'!I11</f>
        <v>15375.14343617357</v>
      </c>
      <c r="G11" s="267">
        <f>'Projection-Future CF- AM '!G11-'Projection-Future CF SUMCOMPANY'!J11</f>
        <v>20276.621339258767</v>
      </c>
      <c r="H11" s="268">
        <f>'Projection-Future CF- AM '!H11-'Projection-Future CF SUMCOMPANY'!K11</f>
        <v>24215.258799436553</v>
      </c>
      <c r="I11" s="267">
        <f>'Projection-Future CF- AM '!I11-'Projection-Future CF SUMCOMPANY'!L11</f>
        <v>24941.71656341965</v>
      </c>
      <c r="J11" s="268">
        <f>'Projection-Future CF- AM '!J11-'Projection-Future CF SUMCOMPANY'!M11</f>
        <v>25689.96806032224</v>
      </c>
      <c r="K11" s="267">
        <f>'Projection-Future CF- AM '!K11-'Projection-Future CF SUMCOMPANY'!N11</f>
        <v>26460.667102131891</v>
      </c>
      <c r="L11" s="268">
        <f>'Projection-Future CF- AM '!L11-'Projection-Future CF SUMCOMPANY'!O11</f>
        <v>27254.487115195847</v>
      </c>
      <c r="M11" s="267">
        <f>'Projection-Future CF- AM '!M11-'Projection-Future CF SUMCOMPANY'!P11</f>
        <v>28072.121728651735</v>
      </c>
      <c r="N11" s="277">
        <f>'Projection-Future CF- AM '!N11-'Projection-Future CF SUMCOMPANY'!Q11</f>
        <v>28914.285380511275</v>
      </c>
    </row>
    <row r="12" spans="2:14" s="259" customFormat="1" ht="18.75">
      <c r="B12" s="386" t="s">
        <v>66</v>
      </c>
      <c r="C12" s="274">
        <f>C11*(1-$F$32)</f>
        <v>2290.6269438120203</v>
      </c>
      <c r="D12" s="267">
        <f>D11*(1-$F$32)</f>
        <v>-22.544067873624964</v>
      </c>
      <c r="E12" s="268">
        <f t="shared" ref="E12:N12" si="1">E11*(1-$F$32)</f>
        <v>5526.5695660901574</v>
      </c>
      <c r="F12" s="267">
        <f t="shared" si="1"/>
        <v>12051.037425272845</v>
      </c>
      <c r="G12" s="267">
        <f t="shared" si="1"/>
        <v>15892.815805711023</v>
      </c>
      <c r="H12" s="268">
        <f t="shared" si="1"/>
        <v>18979.919846998371</v>
      </c>
      <c r="I12" s="267">
        <f t="shared" si="1"/>
        <v>19549.317442408323</v>
      </c>
      <c r="J12" s="268">
        <f t="shared" si="1"/>
        <v>20135.796965680573</v>
      </c>
      <c r="K12" s="267">
        <f t="shared" si="1"/>
        <v>20739.870874650976</v>
      </c>
      <c r="L12" s="268">
        <f t="shared" si="1"/>
        <v>21362.067000890507</v>
      </c>
      <c r="M12" s="267">
        <f t="shared" si="1"/>
        <v>22002.929010917233</v>
      </c>
      <c r="N12" s="277">
        <f t="shared" si="1"/>
        <v>22663.016881244741</v>
      </c>
    </row>
    <row r="13" spans="2:14" s="259" customFormat="1" ht="19.5" thickBot="1">
      <c r="B13" s="387" t="s">
        <v>72</v>
      </c>
      <c r="C13" s="311">
        <f>C10</f>
        <v>2372.3919999999994</v>
      </c>
      <c r="D13" s="312">
        <f t="shared" ref="D13:N13" si="2">D10</f>
        <v>3836.4637599999992</v>
      </c>
      <c r="E13" s="313">
        <f t="shared" si="2"/>
        <v>4988.5576727999996</v>
      </c>
      <c r="F13" s="312">
        <f t="shared" si="2"/>
        <v>6016.6144029839998</v>
      </c>
      <c r="G13" s="312">
        <f t="shared" si="2"/>
        <v>6575.9228350735193</v>
      </c>
      <c r="H13" s="313">
        <f t="shared" si="2"/>
        <v>6954.1875201257262</v>
      </c>
      <c r="I13" s="312">
        <f t="shared" si="2"/>
        <v>7162.8131457294967</v>
      </c>
      <c r="J13" s="313">
        <f t="shared" si="2"/>
        <v>7377.6975401013815</v>
      </c>
      <c r="K13" s="312">
        <f t="shared" si="2"/>
        <v>7599.028466304424</v>
      </c>
      <c r="L13" s="313">
        <f t="shared" si="2"/>
        <v>7826.9993202935566</v>
      </c>
      <c r="M13" s="312">
        <f t="shared" si="2"/>
        <v>8061.8092999023629</v>
      </c>
      <c r="N13" s="329">
        <f t="shared" si="2"/>
        <v>8303.6635788994336</v>
      </c>
    </row>
    <row r="14" spans="2:14" s="259" customFormat="1" ht="18.75">
      <c r="B14" s="388" t="s">
        <v>102</v>
      </c>
      <c r="C14" s="308">
        <f>'Projection-Future CF- AM '!C14-'Projection-Future CF SUMCOMPANY'!F14</f>
        <v>48174.735234889195</v>
      </c>
      <c r="D14" s="308">
        <f>'Projection-Future CF- AM '!D14-'Projection-Future CF SUMCOMPANY'!G14</f>
        <v>47861.387291935869</v>
      </c>
      <c r="E14" s="308">
        <f>'Projection-Future CF- AM '!E14-'Projection-Future CF SUMCOMPANY'!H14</f>
        <v>49297.228910693942</v>
      </c>
      <c r="F14" s="308">
        <f>'Projection-Future CF- AM '!F14-'Projection-Future CF SUMCOMPANY'!I14</f>
        <v>50776.145778014768</v>
      </c>
      <c r="G14" s="314">
        <f>'Projection-Future CF- AM '!G14-'Projection-Future CF SUMCOMPANY'!J14</f>
        <v>52299.430151355213</v>
      </c>
      <c r="H14" s="315">
        <f>'Projection-Future CF- AM '!H14-'Projection-Future CF SUMCOMPANY'!K14</f>
        <v>53868.413055895864</v>
      </c>
      <c r="I14" s="314">
        <f>'Projection-Future CF- AM '!I14-'Projection-Future CF SUMCOMPANY'!L14</f>
        <v>55484.465447572744</v>
      </c>
      <c r="J14" s="315">
        <f>'Projection-Future CF- AM '!J14-'Projection-Future CF SUMCOMPANY'!M14</f>
        <v>57148.999410999924</v>
      </c>
      <c r="K14" s="314">
        <f>'Projection-Future CF- AM '!K14-'Projection-Future CF SUMCOMPANY'!N14</f>
        <v>58863.469393329928</v>
      </c>
      <c r="L14" s="315">
        <f>'Projection-Future CF- AM '!L14-'Projection-Future CF SUMCOMPANY'!O14</f>
        <v>60629.373475129818</v>
      </c>
      <c r="M14" s="314">
        <f>'Projection-Future CF- AM '!M14-'Projection-Future CF SUMCOMPANY'!P14</f>
        <v>62448.25467938371</v>
      </c>
      <c r="N14" s="316">
        <f>'Projection-Future CF- AM '!N14-'Projection-Future CF SUMCOMPANY'!Q14</f>
        <v>64321.702319765231</v>
      </c>
    </row>
    <row r="15" spans="2:14" s="259" customFormat="1" ht="19.5" thickBot="1">
      <c r="B15" s="389" t="s">
        <v>75</v>
      </c>
      <c r="C15" s="309">
        <f>'Projection-Future CF- AM '!C15-'Projection-Future CF SUMCOMPANY'!F15</f>
        <v>13392.555395190946</v>
      </c>
      <c r="D15" s="309">
        <f>'Projection-Future CF- AM '!D15-'Projection-Future CF SUMCOMPANY'!G15</f>
        <v>-313.3479429533254</v>
      </c>
      <c r="E15" s="309">
        <f>'Projection-Future CF- AM '!E15-'Projection-Future CF SUMCOMPANY'!H15</f>
        <v>1435.8416187580733</v>
      </c>
      <c r="F15" s="309">
        <f>'Projection-Future CF- AM '!F15-'Projection-Future CF SUMCOMPANY'!I15</f>
        <v>1478.916867320826</v>
      </c>
      <c r="G15" s="345">
        <f>'Projection-Future CF- AM '!G15-'Projection-Future CF SUMCOMPANY'!J15</f>
        <v>1523.2843733404443</v>
      </c>
      <c r="H15" s="393">
        <f>'Projection-Future CF- AM '!H15-'Projection-Future CF SUMCOMPANY'!K15</f>
        <v>1568.9829045406514</v>
      </c>
      <c r="I15" s="345">
        <f>'Projection-Future CF- AM '!I15-'Projection-Future CF SUMCOMPANY'!L15</f>
        <v>1616.0523916768798</v>
      </c>
      <c r="J15" s="393">
        <f>'Projection-Future CF- AM '!J15-'Projection-Future CF SUMCOMPANY'!M15</f>
        <v>1664.5339634271804</v>
      </c>
      <c r="K15" s="345">
        <f>'Projection-Future CF- AM '!K15-'Projection-Future CF SUMCOMPANY'!N15</f>
        <v>1714.4699823300034</v>
      </c>
      <c r="L15" s="393">
        <f>'Projection-Future CF- AM '!L15-'Projection-Future CF SUMCOMPANY'!O15</f>
        <v>1765.9040817998903</v>
      </c>
      <c r="M15" s="345">
        <f>'Projection-Future CF- AM '!M15-'Projection-Future CF SUMCOMPANY'!P15</f>
        <v>1818.8812042538921</v>
      </c>
      <c r="N15" s="397">
        <f>'Projection-Future CF- AM '!N15-'Projection-Future CF SUMCOMPANY'!Q15</f>
        <v>1873.4476403815206</v>
      </c>
    </row>
    <row r="16" spans="2:14" s="259" customFormat="1" ht="18.75">
      <c r="B16" s="371" t="s">
        <v>67</v>
      </c>
      <c r="C16" s="330">
        <f>C12-C15</f>
        <v>-11101.928451378926</v>
      </c>
      <c r="D16" s="266">
        <f t="shared" ref="D16:N16" si="3">D12-D15</f>
        <v>290.80387507970045</v>
      </c>
      <c r="E16" s="273">
        <f t="shared" si="3"/>
        <v>4090.7279473320841</v>
      </c>
      <c r="F16" s="266">
        <f t="shared" si="3"/>
        <v>10572.120557952019</v>
      </c>
      <c r="G16" s="266">
        <f t="shared" si="3"/>
        <v>14369.531432370579</v>
      </c>
      <c r="H16" s="273">
        <f t="shared" si="3"/>
        <v>17410.93694245772</v>
      </c>
      <c r="I16" s="266">
        <f t="shared" si="3"/>
        <v>17933.265050731443</v>
      </c>
      <c r="J16" s="273">
        <f t="shared" si="3"/>
        <v>18471.263002253392</v>
      </c>
      <c r="K16" s="266">
        <f t="shared" si="3"/>
        <v>19025.400892320973</v>
      </c>
      <c r="L16" s="273">
        <f t="shared" si="3"/>
        <v>19596.162919090617</v>
      </c>
      <c r="M16" s="266">
        <f t="shared" si="3"/>
        <v>20184.04780666334</v>
      </c>
      <c r="N16" s="328">
        <f t="shared" si="3"/>
        <v>20789.56924086322</v>
      </c>
    </row>
    <row r="17" spans="2:14" s="259" customFormat="1" ht="18.75">
      <c r="B17" s="373" t="s">
        <v>76</v>
      </c>
      <c r="C17" s="274"/>
      <c r="D17" s="267"/>
      <c r="E17" s="268"/>
      <c r="F17" s="267"/>
      <c r="G17" s="267"/>
      <c r="H17" s="268"/>
      <c r="I17" s="267"/>
      <c r="J17" s="268"/>
      <c r="K17" s="267"/>
      <c r="L17" s="268"/>
      <c r="M17" s="267"/>
      <c r="N17" s="277">
        <f>N16/('WACC projection'!H43-3%)</f>
        <v>615365.7631254436</v>
      </c>
    </row>
    <row r="18" spans="2:14" s="259" customFormat="1" ht="19.5" thickBot="1">
      <c r="B18" s="374" t="s">
        <v>200</v>
      </c>
      <c r="C18" s="276"/>
      <c r="D18" s="269">
        <f>'Projection-Future CF- AM '!D18</f>
        <v>6.5596416097468954E-2</v>
      </c>
      <c r="E18" s="270">
        <f>'Projection-Future CF- AM '!E18</f>
        <v>3.1798219513967219E-2</v>
      </c>
      <c r="F18" s="269">
        <f>'Projection-Future CF- AM '!F18</f>
        <v>5.7232443738254313E-2</v>
      </c>
      <c r="G18" s="269">
        <f>'Projection-Future CF- AM '!G18</f>
        <v>5.9632732301761138E-2</v>
      </c>
      <c r="H18" s="270">
        <f>'Projection-Future CF- AM '!H18</f>
        <v>6.1708408564840056E-2</v>
      </c>
      <c r="I18" s="269">
        <f>'Projection-Future CF- AM '!I18</f>
        <v>6.2746246696379293E-2</v>
      </c>
      <c r="J18" s="270">
        <f>'Projection-Future CF- AM '!J18</f>
        <v>6.3784084827919418E-2</v>
      </c>
      <c r="K18" s="269">
        <f>'Projection-Future CF- AM '!K18</f>
        <v>6.3784084827919196E-2</v>
      </c>
      <c r="L18" s="270">
        <f>'Projection-Future CF- AM '!L18</f>
        <v>6.3784084630288396E-2</v>
      </c>
      <c r="M18" s="269">
        <f>'Projection-Future CF- AM '!M18</f>
        <v>6.3784084765933224E-2</v>
      </c>
      <c r="N18" s="278">
        <f>'Projection-Future CF- AM '!N18</f>
        <v>6.3784084989182643E-2</v>
      </c>
    </row>
    <row r="19" spans="2:14" s="259" customFormat="1" ht="18.75">
      <c r="B19" s="383" t="s">
        <v>197</v>
      </c>
      <c r="C19" s="326">
        <f>1/(1+'WACC projection'!C40)^0</f>
        <v>1</v>
      </c>
      <c r="D19" s="318">
        <f>C19*(1/(1+D18))</f>
        <v>0.93844159467267874</v>
      </c>
      <c r="E19" s="318">
        <f t="shared" ref="E19:M19" si="4">D19*(1/(1+E18))</f>
        <v>0.90952046332735048</v>
      </c>
      <c r="F19" s="318">
        <f t="shared" si="4"/>
        <v>0.86028429104141846</v>
      </c>
      <c r="G19" s="318">
        <f t="shared" si="4"/>
        <v>0.81187024977294442</v>
      </c>
      <c r="H19" s="319">
        <f t="shared" si="4"/>
        <v>0.76468288583151245</v>
      </c>
      <c r="I19" s="318">
        <f t="shared" si="4"/>
        <v>0.71953477907692676</v>
      </c>
      <c r="J19" s="319">
        <f t="shared" si="4"/>
        <v>0.67639175029895338</v>
      </c>
      <c r="K19" s="318">
        <f t="shared" si="4"/>
        <v>0.63583556094314797</v>
      </c>
      <c r="L19" s="319">
        <f t="shared" si="4"/>
        <v>0.59771110522313253</v>
      </c>
      <c r="M19" s="318">
        <f t="shared" si="4"/>
        <v>0.56187257713547034</v>
      </c>
      <c r="N19" s="320">
        <f>M19*(1/(1+N18))</f>
        <v>0.52818291330348666</v>
      </c>
    </row>
    <row r="20" spans="2:14" s="259" customFormat="1" ht="18.75">
      <c r="B20" s="383" t="s">
        <v>68</v>
      </c>
      <c r="C20" s="309">
        <f>C16*C19</f>
        <v>-11101.928451378926</v>
      </c>
      <c r="D20" s="345">
        <f t="shared" ref="D20:L20" si="5">D16*D19</f>
        <v>272.90245226678854</v>
      </c>
      <c r="E20" s="393">
        <f t="shared" si="5"/>
        <v>3720.6007780036184</v>
      </c>
      <c r="F20" s="345">
        <f t="shared" si="5"/>
        <v>9095.0292390021586</v>
      </c>
      <c r="G20" s="345">
        <f t="shared" si="5"/>
        <v>11666.195073118877</v>
      </c>
      <c r="H20" s="393">
        <f t="shared" si="5"/>
        <v>13313.845506189058</v>
      </c>
      <c r="I20" s="345">
        <f t="shared" si="5"/>
        <v>12903.607906406021</v>
      </c>
      <c r="J20" s="393">
        <f t="shared" si="5"/>
        <v>12493.809912326473</v>
      </c>
      <c r="K20" s="345">
        <f t="shared" si="5"/>
        <v>12097.026448537174</v>
      </c>
      <c r="L20" s="393">
        <f t="shared" si="5"/>
        <v>11712.844196502219</v>
      </c>
      <c r="M20" s="345">
        <f>M16*M19</f>
        <v>11340.862958155469</v>
      </c>
      <c r="N20" s="397">
        <f>N16*N19</f>
        <v>10980.695247963691</v>
      </c>
    </row>
    <row r="21" spans="2:14" s="259" customFormat="1" ht="19.5" thickBot="1">
      <c r="B21" s="384" t="s">
        <v>77</v>
      </c>
      <c r="C21" s="394"/>
      <c r="D21" s="395"/>
      <c r="E21" s="396"/>
      <c r="F21" s="395"/>
      <c r="G21" s="395"/>
      <c r="H21" s="396"/>
      <c r="I21" s="395"/>
      <c r="J21" s="396"/>
      <c r="K21" s="395"/>
      <c r="L21" s="396"/>
      <c r="M21" s="395"/>
      <c r="N21" s="398">
        <f>N17*N19</f>
        <v>325025.68151482008</v>
      </c>
    </row>
    <row r="22" spans="2:14" s="259" customFormat="1" ht="19.5" thickBot="1">
      <c r="B22" s="390" t="s">
        <v>237</v>
      </c>
      <c r="C22" s="202">
        <f>SUM(C20:N21)</f>
        <v>423521.17278191273</v>
      </c>
      <c r="D22" s="217"/>
      <c r="E22" s="217"/>
      <c r="F22" s="217"/>
      <c r="G22" s="217"/>
      <c r="H22" s="217"/>
      <c r="I22" s="217"/>
      <c r="J22" s="217"/>
      <c r="K22" s="217"/>
      <c r="L22" s="217"/>
      <c r="M22" s="217"/>
      <c r="N22" s="217"/>
    </row>
    <row r="23" spans="2:14" s="264" customFormat="1" ht="18.75">
      <c r="B23" s="376"/>
      <c r="C23" s="218"/>
      <c r="D23" s="218"/>
      <c r="E23" s="218"/>
      <c r="F23" s="218"/>
      <c r="G23" s="218"/>
      <c r="H23" s="218"/>
      <c r="I23" s="218"/>
      <c r="J23" s="218"/>
      <c r="K23" s="218"/>
      <c r="L23" s="218"/>
      <c r="M23" s="218"/>
      <c r="N23" s="218"/>
    </row>
    <row r="24" spans="2:14" s="264" customFormat="1"/>
    <row r="25" spans="2:14" s="264" customFormat="1">
      <c r="B25" s="264" t="s">
        <v>164</v>
      </c>
    </row>
    <row r="26" spans="2:14" s="264" customFormat="1">
      <c r="B26" s="264" t="s">
        <v>103</v>
      </c>
    </row>
    <row r="27" spans="2:14" s="264" customFormat="1">
      <c r="B27" s="264" t="s">
        <v>173</v>
      </c>
    </row>
    <row r="28" spans="2:14" s="264" customFormat="1"/>
    <row r="29" spans="2:14" s="264" customFormat="1" ht="19.5" thickBot="1">
      <c r="B29" s="263" t="s">
        <v>165</v>
      </c>
    </row>
    <row r="30" spans="2:14" s="264" customFormat="1">
      <c r="B30" s="358" t="s">
        <v>82</v>
      </c>
      <c r="C30" s="359">
        <f>D5/C5-1</f>
        <v>0.45934979600180048</v>
      </c>
    </row>
    <row r="31" spans="2:14" s="264" customFormat="1" ht="19.5" thickBot="1">
      <c r="B31" s="360" t="s">
        <v>83</v>
      </c>
      <c r="C31" s="361">
        <f>D6/C6-1</f>
        <v>0.60583023731035546</v>
      </c>
      <c r="E31" s="263" t="s">
        <v>166</v>
      </c>
    </row>
    <row r="32" spans="2:14" s="264" customFormat="1" ht="15.75" thickBot="1">
      <c r="B32" s="360" t="s">
        <v>73</v>
      </c>
      <c r="C32" s="361">
        <f>D11/C11-1</f>
        <v>-1.0098418766681001</v>
      </c>
      <c r="E32" s="391" t="s">
        <v>84</v>
      </c>
      <c r="F32" s="392">
        <v>0.2162</v>
      </c>
    </row>
    <row r="33" spans="2:5" s="264" customFormat="1" ht="15.75" thickBot="1">
      <c r="B33" s="364" t="s">
        <v>168</v>
      </c>
      <c r="C33" s="365">
        <f>D10/C10-1</f>
        <v>0.61712893990537832</v>
      </c>
    </row>
    <row r="34" spans="2:5" s="264" customFormat="1"/>
    <row r="35" spans="2:5" s="264" customFormat="1" ht="15.75" thickBot="1"/>
    <row r="36" spans="2:5" s="264" customFormat="1">
      <c r="C36" s="366" t="s">
        <v>50</v>
      </c>
      <c r="D36" s="243">
        <v>117.47</v>
      </c>
      <c r="E36" s="244">
        <v>38807</v>
      </c>
    </row>
    <row r="37" spans="2:5" s="264" customFormat="1">
      <c r="C37" s="367" t="s">
        <v>50</v>
      </c>
      <c r="D37" s="246">
        <v>117.87</v>
      </c>
      <c r="E37" s="247">
        <v>38717</v>
      </c>
    </row>
    <row r="38" spans="2:5" s="264" customFormat="1">
      <c r="C38" s="367" t="s">
        <v>51</v>
      </c>
      <c r="D38" s="246">
        <v>1020.73</v>
      </c>
      <c r="E38" s="247">
        <v>38717</v>
      </c>
    </row>
    <row r="39" spans="2:5" s="264" customFormat="1">
      <c r="C39" s="367" t="s">
        <v>52</v>
      </c>
      <c r="D39" s="248">
        <v>0.84840000000000004</v>
      </c>
      <c r="E39" s="247">
        <v>38717</v>
      </c>
    </row>
    <row r="40" spans="2:5" s="264" customFormat="1" ht="15.75" thickBot="1">
      <c r="C40" s="368" t="s">
        <v>53</v>
      </c>
      <c r="D40" s="250">
        <v>0.58130000000000004</v>
      </c>
      <c r="E40" s="251">
        <v>38717</v>
      </c>
    </row>
    <row r="41" spans="2:5" s="264" customFormat="1"/>
    <row r="42" spans="2:5" s="264" customFormat="1"/>
    <row r="43" spans="2:5" s="259" customFormat="1"/>
    <row r="44" spans="2:5" s="259" customFormat="1"/>
  </sheetData>
  <phoneticPr fontId="7" type="noConversion"/>
  <pageMargins left="0.511811024" right="0.511811024" top="0.78740157499999996" bottom="0.78740157499999996" header="0.31496062000000002" footer="0.31496062000000002"/>
  <pageSetup paperSize="9" scale="6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X57"/>
  <sheetViews>
    <sheetView zoomScale="70" zoomScaleNormal="70" workbookViewId="0"/>
  </sheetViews>
  <sheetFormatPr defaultRowHeight="15"/>
  <cols>
    <col min="1" max="1" width="10.7109375" style="33" customWidth="1"/>
    <col min="2" max="2" width="102.140625" bestFit="1" customWidth="1"/>
    <col min="3" max="14" width="11.28515625" customWidth="1"/>
    <col min="15" max="15" width="9.140625" style="33"/>
  </cols>
  <sheetData>
    <row r="1" spans="1:24" s="33" customFormat="1"/>
    <row r="2" spans="1:24" s="33" customFormat="1" ht="21">
      <c r="A2" s="260"/>
      <c r="B2" s="413" t="s">
        <v>196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</row>
    <row r="3" spans="1:24" s="33" customFormat="1" ht="15.75" thickBot="1">
      <c r="A3" s="260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1:24" ht="21.75" thickBot="1">
      <c r="A4" s="260"/>
      <c r="B4" s="381"/>
      <c r="C4" s="78">
        <v>2007</v>
      </c>
      <c r="D4" s="78">
        <f>C4+1</f>
        <v>2008</v>
      </c>
      <c r="E4" s="78">
        <f t="shared" ref="E4:K4" si="0">D4+1</f>
        <v>2009</v>
      </c>
      <c r="F4" s="78">
        <f t="shared" si="0"/>
        <v>2010</v>
      </c>
      <c r="G4" s="78">
        <f t="shared" si="0"/>
        <v>2011</v>
      </c>
      <c r="H4" s="78">
        <f t="shared" si="0"/>
        <v>2012</v>
      </c>
      <c r="I4" s="78">
        <f t="shared" si="0"/>
        <v>2013</v>
      </c>
      <c r="J4" s="78">
        <f t="shared" si="0"/>
        <v>2014</v>
      </c>
      <c r="K4" s="78">
        <f t="shared" si="0"/>
        <v>2015</v>
      </c>
      <c r="L4" s="78">
        <f>K4+1</f>
        <v>2016</v>
      </c>
      <c r="M4" s="78">
        <f>L4+1</f>
        <v>2017</v>
      </c>
      <c r="N4" s="29">
        <f>M4+1</f>
        <v>2018</v>
      </c>
    </row>
    <row r="5" spans="1:24" ht="18.75">
      <c r="A5" s="260"/>
      <c r="B5" s="388" t="s">
        <v>201</v>
      </c>
      <c r="C5" s="308">
        <f>'Projection-Future CF- AM '!C5-'Projection-Future CF SUMCOMPANY'!F5</f>
        <v>38578.148060726075</v>
      </c>
      <c r="D5" s="308">
        <f>'Projection-Future CF- AM '!D5-'Projection-Future CF SUMCOMPANY'!G5</f>
        <v>56299.012502547848</v>
      </c>
      <c r="E5" s="308">
        <f>'Projection-Future CF- AM '!E5-'Projection-Future CF SUMCOMPANY'!H5</f>
        <v>79227.10287762426</v>
      </c>
      <c r="F5" s="308">
        <f>'Projection-Future CF- AM '!F5-'Projection-Future CF SUMCOMPANY'!I5</f>
        <v>99594.699963952968</v>
      </c>
      <c r="G5" s="308">
        <f>'Projection-Future CF- AM '!G5-'Projection-Future CF SUMCOMPANY'!J5</f>
        <v>110341.06656287155</v>
      </c>
      <c r="H5" s="308">
        <f>'Projection-Future CF- AM '!H5-'Projection-Future CF SUMCOMPANY'!K5</f>
        <v>117358.14967975771</v>
      </c>
      <c r="I5" s="308">
        <f>'Projection-Future CF- AM '!I5-'Projection-Future CF SUMCOMPANY'!L5</f>
        <v>120878.89417015044</v>
      </c>
      <c r="J5" s="308">
        <f>'Projection-Future CF- AM '!J5-'Projection-Future CF SUMCOMPANY'!M5</f>
        <v>124505.26099525495</v>
      </c>
      <c r="K5" s="308">
        <f>'Projection-Future CF- AM '!K5-'Projection-Future CF SUMCOMPANY'!N5</f>
        <v>128240.4188251126</v>
      </c>
      <c r="L5" s="308">
        <f>'Projection-Future CF- AM '!L5-'Projection-Future CF SUMCOMPANY'!O5</f>
        <v>132087.63138986597</v>
      </c>
      <c r="M5" s="308">
        <f>'Projection-Future CF- AM '!M5-'Projection-Future CF SUMCOMPANY'!P5</f>
        <v>136050.26033156196</v>
      </c>
      <c r="N5" s="314">
        <f>'Projection-Future CF- AM '!N5-'Projection-Future CF SUMCOMPANY'!Q5</f>
        <v>140131.7681415088</v>
      </c>
    </row>
    <row r="6" spans="1:24" ht="18.75">
      <c r="A6" s="260"/>
      <c r="B6" s="399" t="s">
        <v>213</v>
      </c>
      <c r="C6" s="325">
        <f>'Projection-Future CF SUMCOMPANY'!F11/'Projection-Future CF SUMCOMPANY'!F5</f>
        <v>0.17869028017071215</v>
      </c>
      <c r="D6" s="325">
        <f>'Projection-Future CF SUMCOMPANY'!G11/'Projection-Future CF SUMCOMPANY'!G5</f>
        <v>0.17869028017071223</v>
      </c>
      <c r="E6" s="325">
        <f>'Projection-Future CF SUMCOMPANY'!H11/'Projection-Future CF SUMCOMPANY'!H5</f>
        <v>0.17869028017071234</v>
      </c>
      <c r="F6" s="325">
        <f>'Projection-Future CF SUMCOMPANY'!I11/'Projection-Future CF SUMCOMPANY'!I5</f>
        <v>0.17869028017071231</v>
      </c>
      <c r="G6" s="325">
        <f>'Projection-Future CF SUMCOMPANY'!J11/'Projection-Future CF SUMCOMPANY'!J5</f>
        <v>0.17869028017071223</v>
      </c>
      <c r="H6" s="325">
        <f>'Projection-Future CF SUMCOMPANY'!K11/'Projection-Future CF SUMCOMPANY'!K5</f>
        <v>0.17869028017071226</v>
      </c>
      <c r="I6" s="325">
        <f>'Projection-Future CF SUMCOMPANY'!L11/'Projection-Future CF SUMCOMPANY'!L5</f>
        <v>0.17869028017071223</v>
      </c>
      <c r="J6" s="325">
        <f>'Projection-Future CF SUMCOMPANY'!M11/'Projection-Future CF SUMCOMPANY'!M5</f>
        <v>0.17869028017071228</v>
      </c>
      <c r="K6" s="325">
        <f>'Projection-Future CF SUMCOMPANY'!N11/'Projection-Future CF SUMCOMPANY'!N5</f>
        <v>0.17869028017071228</v>
      </c>
      <c r="L6" s="325">
        <f>'Projection-Future CF SUMCOMPANY'!O11/'Projection-Future CF SUMCOMPANY'!O5</f>
        <v>0.17869028017071231</v>
      </c>
      <c r="M6" s="325">
        <f>'Projection-Future CF SUMCOMPANY'!P11/'Projection-Future CF SUMCOMPANY'!P5</f>
        <v>0.17869028017071223</v>
      </c>
      <c r="N6" s="317">
        <f>'Projection-Future CF SUMCOMPANY'!Q11/'Projection-Future CF SUMCOMPANY'!Q5</f>
        <v>0.17869028017071215</v>
      </c>
      <c r="P6" s="33"/>
      <c r="Q6" s="33"/>
      <c r="R6" s="33"/>
      <c r="S6" s="33"/>
    </row>
    <row r="7" spans="1:24" ht="18.75">
      <c r="A7" s="260"/>
      <c r="B7" s="399" t="s">
        <v>84</v>
      </c>
      <c r="C7" s="326">
        <v>0.2162</v>
      </c>
      <c r="D7" s="326">
        <f>C7</f>
        <v>0.2162</v>
      </c>
      <c r="E7" s="326">
        <f t="shared" ref="E7:N7" si="1">D7</f>
        <v>0.2162</v>
      </c>
      <c r="F7" s="326">
        <f t="shared" si="1"/>
        <v>0.2162</v>
      </c>
      <c r="G7" s="326">
        <f t="shared" si="1"/>
        <v>0.2162</v>
      </c>
      <c r="H7" s="326">
        <f t="shared" si="1"/>
        <v>0.2162</v>
      </c>
      <c r="I7" s="326">
        <f t="shared" si="1"/>
        <v>0.2162</v>
      </c>
      <c r="J7" s="326">
        <f t="shared" si="1"/>
        <v>0.2162</v>
      </c>
      <c r="K7" s="326">
        <f t="shared" si="1"/>
        <v>0.2162</v>
      </c>
      <c r="L7" s="326">
        <f t="shared" si="1"/>
        <v>0.2162</v>
      </c>
      <c r="M7" s="326">
        <f t="shared" si="1"/>
        <v>0.2162</v>
      </c>
      <c r="N7" s="318">
        <f t="shared" si="1"/>
        <v>0.2162</v>
      </c>
      <c r="P7" s="33"/>
      <c r="Q7" s="33"/>
      <c r="R7" s="33"/>
      <c r="S7" s="33"/>
    </row>
    <row r="8" spans="1:24" ht="19.5" thickBot="1">
      <c r="A8" s="260"/>
      <c r="B8" s="399" t="s">
        <v>212</v>
      </c>
      <c r="C8" s="325">
        <f>C6*(1-C7)</f>
        <v>0.1400574415978042</v>
      </c>
      <c r="D8" s="325">
        <f t="shared" ref="D8:N8" si="2">D6*(1-D7)</f>
        <v>0.14005744159780426</v>
      </c>
      <c r="E8" s="325">
        <f t="shared" si="2"/>
        <v>0.14005744159780434</v>
      </c>
      <c r="F8" s="325">
        <f t="shared" si="2"/>
        <v>0.14005744159780431</v>
      </c>
      <c r="G8" s="325">
        <f t="shared" si="2"/>
        <v>0.14005744159780426</v>
      </c>
      <c r="H8" s="325">
        <f t="shared" si="2"/>
        <v>0.14005744159780428</v>
      </c>
      <c r="I8" s="325">
        <f t="shared" si="2"/>
        <v>0.14005744159780426</v>
      </c>
      <c r="J8" s="325">
        <f t="shared" si="2"/>
        <v>0.14005744159780431</v>
      </c>
      <c r="K8" s="325">
        <f t="shared" si="2"/>
        <v>0.14005744159780431</v>
      </c>
      <c r="L8" s="325">
        <f t="shared" si="2"/>
        <v>0.14005744159780431</v>
      </c>
      <c r="M8" s="325">
        <f t="shared" si="2"/>
        <v>0.14005744159780426</v>
      </c>
      <c r="N8" s="317">
        <f t="shared" si="2"/>
        <v>0.1400574415978042</v>
      </c>
    </row>
    <row r="9" spans="1:24" ht="18.75">
      <c r="A9" s="260"/>
      <c r="B9" s="400" t="s">
        <v>219</v>
      </c>
      <c r="C9" s="323">
        <f>C5*C8</f>
        <v>5403.1567189665857</v>
      </c>
      <c r="D9" s="323">
        <f t="shared" ref="D9:N9" si="3">D5*D8</f>
        <v>7885.0956555896464</v>
      </c>
      <c r="E9" s="323">
        <f t="shared" si="3"/>
        <v>11096.345334246096</v>
      </c>
      <c r="F9" s="323">
        <f t="shared" si="3"/>
        <v>13948.978873652186</v>
      </c>
      <c r="G9" s="323">
        <f t="shared" si="3"/>
        <v>15454.087485968814</v>
      </c>
      <c r="H9" s="323">
        <f t="shared" si="3"/>
        <v>16436.88219479904</v>
      </c>
      <c r="I9" s="323">
        <f t="shared" si="3"/>
        <v>16929.988660643005</v>
      </c>
      <c r="J9" s="323">
        <f t="shared" si="3"/>
        <v>17437.888320462305</v>
      </c>
      <c r="K9" s="323">
        <f t="shared" si="3"/>
        <v>17961.024970076174</v>
      </c>
      <c r="L9" s="323">
        <f t="shared" si="3"/>
        <v>18499.855719178457</v>
      </c>
      <c r="M9" s="323">
        <f t="shared" si="3"/>
        <v>19054.851390753804</v>
      </c>
      <c r="N9" s="322">
        <f t="shared" si="3"/>
        <v>19626.49693247641</v>
      </c>
    </row>
    <row r="10" spans="1:24" ht="19.5" thickBot="1">
      <c r="A10" s="260"/>
      <c r="B10" s="401" t="s">
        <v>217</v>
      </c>
      <c r="C10" s="324"/>
      <c r="D10" s="324"/>
      <c r="E10" s="324"/>
      <c r="F10" s="324"/>
      <c r="G10" s="324"/>
      <c r="H10" s="324"/>
      <c r="I10" s="324"/>
      <c r="J10" s="324"/>
      <c r="K10" s="324"/>
      <c r="L10" s="324"/>
      <c r="M10" s="324"/>
      <c r="N10" s="321">
        <f>N9/(N36-3%)</f>
        <v>385865.28670808481</v>
      </c>
    </row>
    <row r="11" spans="1:24" ht="18.75">
      <c r="A11" s="260"/>
      <c r="B11" s="400" t="s">
        <v>229</v>
      </c>
      <c r="C11" s="323">
        <f t="shared" ref="C11:M11" si="4">C9*C37</f>
        <v>5403.1567189665857</v>
      </c>
      <c r="D11" s="323">
        <f t="shared" si="4"/>
        <v>7201.0718305933806</v>
      </c>
      <c r="E11" s="323">
        <f t="shared" si="4"/>
        <v>9666.248699418813</v>
      </c>
      <c r="F11" s="323">
        <f t="shared" si="4"/>
        <v>11311.821229656798</v>
      </c>
      <c r="G11" s="323">
        <f t="shared" si="4"/>
        <v>11640.207322233968</v>
      </c>
      <c r="H11" s="323">
        <f t="shared" si="4"/>
        <v>11476.623449715356</v>
      </c>
      <c r="I11" s="323">
        <f t="shared" si="4"/>
        <v>10947.233344840071</v>
      </c>
      <c r="J11" s="323">
        <f t="shared" si="4"/>
        <v>10432.075208065566</v>
      </c>
      <c r="K11" s="323">
        <f t="shared" si="4"/>
        <v>9941.1595348912397</v>
      </c>
      <c r="L11" s="323">
        <f t="shared" si="4"/>
        <v>9473.3455180721103</v>
      </c>
      <c r="M11" s="323">
        <f t="shared" si="4"/>
        <v>9027.5460300532559</v>
      </c>
      <c r="N11" s="322">
        <f>N9*N37 + N10*N37</f>
        <v>177735.96371327469</v>
      </c>
    </row>
    <row r="12" spans="1:24" ht="19.5" thickBot="1">
      <c r="A12" s="260"/>
      <c r="B12" s="401" t="s">
        <v>228</v>
      </c>
      <c r="C12" s="324">
        <f>SUM(C11:N11)</f>
        <v>284256.4525997818</v>
      </c>
      <c r="D12" s="324"/>
      <c r="E12" s="324"/>
      <c r="F12" s="324"/>
      <c r="G12" s="324"/>
      <c r="H12" s="324"/>
      <c r="I12" s="324"/>
      <c r="J12" s="324"/>
      <c r="K12" s="324"/>
      <c r="L12" s="324"/>
      <c r="M12" s="324"/>
      <c r="N12" s="321"/>
      <c r="O12" s="416"/>
    </row>
    <row r="13" spans="1:24" s="43" customFormat="1" ht="19.5" thickBot="1">
      <c r="A13" s="264"/>
      <c r="B13" s="414"/>
      <c r="C13" s="256"/>
      <c r="D13" s="256"/>
      <c r="E13" s="256"/>
      <c r="F13" s="256"/>
      <c r="G13" s="256"/>
      <c r="H13" s="256"/>
      <c r="I13" s="256"/>
      <c r="J13" s="256"/>
      <c r="K13" s="256"/>
      <c r="L13" s="256"/>
      <c r="M13" s="256"/>
      <c r="N13" s="256"/>
    </row>
    <row r="14" spans="1:24" ht="18.75">
      <c r="A14" s="260"/>
      <c r="B14" s="388" t="s">
        <v>210</v>
      </c>
      <c r="C14" s="331">
        <f>'Projection-Future CF- AM '!C5</f>
        <v>105216</v>
      </c>
      <c r="D14" s="331">
        <f>'Projection-Future CF- AM '!D5</f>
        <v>124936</v>
      </c>
      <c r="E14" s="331">
        <f>'Projection-Future CF- AM '!E5</f>
        <v>149923.19999999998</v>
      </c>
      <c r="F14" s="331">
        <f>'Projection-Future CF- AM '!F5</f>
        <v>172411.67999999996</v>
      </c>
      <c r="G14" s="331">
        <f>'Projection-Future CF- AM '!G5</f>
        <v>185342.55599999995</v>
      </c>
      <c r="H14" s="331">
        <f>'Projection-Future CF- AM '!H5</f>
        <v>194609.68379999997</v>
      </c>
      <c r="I14" s="331">
        <f>'Projection-Future CF- AM '!I5</f>
        <v>200447.97431399996</v>
      </c>
      <c r="J14" s="331">
        <f>'Projection-Future CF- AM '!J5</f>
        <v>206461.41354341997</v>
      </c>
      <c r="K14" s="331">
        <f>'Projection-Future CF- AM '!K5</f>
        <v>212655.25594972257</v>
      </c>
      <c r="L14" s="331">
        <f>'Projection-Future CF- AM '!L5</f>
        <v>219034.91362821424</v>
      </c>
      <c r="M14" s="331">
        <f>'Projection-Future CF- AM '!M5</f>
        <v>225605.96103706068</v>
      </c>
      <c r="N14" s="265">
        <f>'Projection-Future CF- AM '!N5</f>
        <v>232374.1398681725</v>
      </c>
      <c r="P14" s="33"/>
      <c r="Q14" s="33"/>
      <c r="R14" s="33"/>
      <c r="S14" s="33"/>
      <c r="T14" s="33"/>
      <c r="U14" s="33"/>
      <c r="V14" s="33"/>
      <c r="W14" s="33"/>
      <c r="X14" s="33"/>
    </row>
    <row r="15" spans="1:24" ht="18.75">
      <c r="A15" s="260"/>
      <c r="B15" s="399" t="s">
        <v>214</v>
      </c>
      <c r="C15" s="332">
        <f>C8</f>
        <v>0.1400574415978042</v>
      </c>
      <c r="D15" s="332">
        <f t="shared" ref="D15:N15" si="5">D8</f>
        <v>0.14005744159780426</v>
      </c>
      <c r="E15" s="332">
        <f t="shared" si="5"/>
        <v>0.14005744159780434</v>
      </c>
      <c r="F15" s="332">
        <f t="shared" si="5"/>
        <v>0.14005744159780431</v>
      </c>
      <c r="G15" s="332">
        <f t="shared" si="5"/>
        <v>0.14005744159780426</v>
      </c>
      <c r="H15" s="332">
        <f t="shared" si="5"/>
        <v>0.14005744159780428</v>
      </c>
      <c r="I15" s="332">
        <f t="shared" si="5"/>
        <v>0.14005744159780426</v>
      </c>
      <c r="J15" s="332">
        <f t="shared" si="5"/>
        <v>0.14005744159780431</v>
      </c>
      <c r="K15" s="332">
        <f t="shared" si="5"/>
        <v>0.14005744159780431</v>
      </c>
      <c r="L15" s="332">
        <f t="shared" si="5"/>
        <v>0.14005744159780431</v>
      </c>
      <c r="M15" s="332">
        <f t="shared" si="5"/>
        <v>0.14005744159780426</v>
      </c>
      <c r="N15" s="327">
        <f t="shared" si="5"/>
        <v>0.1400574415978042</v>
      </c>
    </row>
    <row r="16" spans="1:24" ht="19.5" thickBot="1">
      <c r="A16" s="260"/>
      <c r="B16" s="399" t="s">
        <v>211</v>
      </c>
      <c r="C16" s="332">
        <f>'Projection-Future CF- AM '!C12/'Projection-Future CF- AM '!C5</f>
        <v>0.11047515586982969</v>
      </c>
      <c r="D16" s="332">
        <f>'Projection-Future CF- AM '!D12/'Projection-Future CF- AM '!D5</f>
        <v>7.6763917525773204E-2</v>
      </c>
      <c r="E16" s="332">
        <f>'Projection-Future CF- AM '!E12/'Projection-Future CF- AM '!E5</f>
        <v>0.10290658190326782</v>
      </c>
      <c r="F16" s="332">
        <f>'Projection-Future CF- AM '!F12/'Projection-Future CF- AM '!F5</f>
        <v>0.12904924628076234</v>
      </c>
      <c r="G16" s="332">
        <f>'Projection-Future CF- AM '!G12/'Projection-Future CF- AM '!G5</f>
        <v>0.14242456293901531</v>
      </c>
      <c r="H16" s="332">
        <f>'Projection-Future CF- AM '!H12/'Projection-Future CF- AM '!H5</f>
        <v>0.15312481626561786</v>
      </c>
      <c r="I16" s="332">
        <f>'Projection-Future CF- AM '!I12/'Projection-Future CF- AM '!I5</f>
        <v>0.15312481626561786</v>
      </c>
      <c r="J16" s="332">
        <f>'Projection-Future CF- AM '!J12/'Projection-Future CF- AM '!J5</f>
        <v>0.15312481626561789</v>
      </c>
      <c r="K16" s="332">
        <f>'Projection-Future CF- AM '!K12/'Projection-Future CF- AM '!K5</f>
        <v>0.15312481626561783</v>
      </c>
      <c r="L16" s="332">
        <f>'Projection-Future CF- AM '!L12/'Projection-Future CF- AM '!L5</f>
        <v>0.15312481626561786</v>
      </c>
      <c r="M16" s="332">
        <f>'Projection-Future CF- AM '!M12/'Projection-Future CF- AM '!M5</f>
        <v>0.15312481626561786</v>
      </c>
      <c r="N16" s="327">
        <f>'Projection-Future CF- AM '!N12/'Projection-Future CF- AM '!N5</f>
        <v>0.15312481626561777</v>
      </c>
    </row>
    <row r="17" spans="1:14" ht="18.75">
      <c r="A17" s="260"/>
      <c r="B17" s="400" t="s">
        <v>220</v>
      </c>
      <c r="C17" s="330">
        <f t="shared" ref="C17:N17" si="6">C14*(C16-C15)</f>
        <v>-3112.5297751545663</v>
      </c>
      <c r="D17" s="330">
        <f t="shared" si="6"/>
        <v>-7907.6397234632714</v>
      </c>
      <c r="E17" s="330">
        <f t="shared" si="6"/>
        <v>-5569.7757681559369</v>
      </c>
      <c r="F17" s="330">
        <f t="shared" si="6"/>
        <v>-1897.9414483793391</v>
      </c>
      <c r="G17" s="330">
        <f t="shared" si="6"/>
        <v>438.72831974220571</v>
      </c>
      <c r="H17" s="330">
        <f t="shared" si="6"/>
        <v>2543.0376521993294</v>
      </c>
      <c r="I17" s="330">
        <f t="shared" si="6"/>
        <v>2619.3287817653149</v>
      </c>
      <c r="J17" s="330">
        <f t="shared" si="6"/>
        <v>2697.9086452182687</v>
      </c>
      <c r="K17" s="330">
        <f t="shared" si="6"/>
        <v>2778.845904574805</v>
      </c>
      <c r="L17" s="330">
        <f t="shared" si="6"/>
        <v>2862.2112817120551</v>
      </c>
      <c r="M17" s="330">
        <f t="shared" si="6"/>
        <v>2948.0776201634294</v>
      </c>
      <c r="N17" s="266">
        <f t="shared" si="6"/>
        <v>3036.5199487683258</v>
      </c>
    </row>
    <row r="18" spans="1:14" ht="19.5" thickBot="1">
      <c r="A18" s="260"/>
      <c r="B18" s="401" t="s">
        <v>218</v>
      </c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311"/>
      <c r="N18" s="312">
        <f>N17/(N36-3%)</f>
        <v>59699.275151211063</v>
      </c>
    </row>
    <row r="19" spans="1:14" ht="18.75">
      <c r="A19" s="260"/>
      <c r="B19" s="400" t="s">
        <v>230</v>
      </c>
      <c r="C19" s="330">
        <f t="shared" ref="C19:M19" si="7">C17*C37</f>
        <v>-3112.5297751545663</v>
      </c>
      <c r="D19" s="330">
        <f t="shared" si="7"/>
        <v>-7221.6602240894899</v>
      </c>
      <c r="E19" s="330">
        <f t="shared" si="7"/>
        <v>-4851.9432437661826</v>
      </c>
      <c r="F19" s="330">
        <f t="shared" si="7"/>
        <v>-1539.1215774923476</v>
      </c>
      <c r="G19" s="330">
        <f t="shared" si="7"/>
        <v>330.45552541172759</v>
      </c>
      <c r="H19" s="330">
        <f t="shared" si="7"/>
        <v>1775.6095837916746</v>
      </c>
      <c r="I19" s="330">
        <f t="shared" si="7"/>
        <v>1693.7048190410021</v>
      </c>
      <c r="J19" s="330">
        <f t="shared" si="7"/>
        <v>1614.0019579309417</v>
      </c>
      <c r="K19" s="330">
        <f t="shared" si="7"/>
        <v>1538.0497775757024</v>
      </c>
      <c r="L19" s="330">
        <f t="shared" si="7"/>
        <v>1465.6717776059736</v>
      </c>
      <c r="M19" s="330">
        <f t="shared" si="7"/>
        <v>1396.6997627233859</v>
      </c>
      <c r="N19" s="266">
        <f>N17*N37+N18*N37</f>
        <v>27498.478270764153</v>
      </c>
    </row>
    <row r="20" spans="1:14" ht="19.5" thickBot="1">
      <c r="A20" s="260"/>
      <c r="B20" s="401" t="s">
        <v>231</v>
      </c>
      <c r="C20" s="311">
        <f>SUM(C19:N19)</f>
        <v>20587.416654341974</v>
      </c>
      <c r="D20" s="311"/>
      <c r="E20" s="311"/>
      <c r="F20" s="311"/>
      <c r="G20" s="311"/>
      <c r="H20" s="311"/>
      <c r="I20" s="311"/>
      <c r="J20" s="311"/>
      <c r="K20" s="311"/>
      <c r="L20" s="311"/>
      <c r="M20" s="311"/>
      <c r="N20" s="312"/>
    </row>
    <row r="21" spans="1:14" s="43" customFormat="1" ht="19.5" thickBot="1">
      <c r="A21" s="264"/>
      <c r="B21" s="376"/>
      <c r="C21" s="256"/>
      <c r="D21" s="256"/>
      <c r="E21" s="256"/>
      <c r="F21" s="256"/>
      <c r="G21" s="256"/>
      <c r="H21" s="256"/>
      <c r="I21" s="256"/>
      <c r="J21" s="256"/>
      <c r="K21" s="256"/>
      <c r="L21" s="256"/>
      <c r="M21" s="256"/>
      <c r="N21" s="256"/>
    </row>
    <row r="22" spans="1:14" ht="18.75">
      <c r="A22" s="260"/>
      <c r="B22" s="400" t="s">
        <v>202</v>
      </c>
      <c r="C22" s="266">
        <f t="shared" ref="C22:N22" si="8">C9+C17</f>
        <v>2290.6269438120194</v>
      </c>
      <c r="D22" s="266">
        <f t="shared" si="8"/>
        <v>-22.544067873624954</v>
      </c>
      <c r="E22" s="266">
        <f t="shared" si="8"/>
        <v>5526.5695660901592</v>
      </c>
      <c r="F22" s="266">
        <f t="shared" si="8"/>
        <v>12051.037425272847</v>
      </c>
      <c r="G22" s="266">
        <f t="shared" si="8"/>
        <v>15892.815805711019</v>
      </c>
      <c r="H22" s="266">
        <f t="shared" si="8"/>
        <v>18979.919846998368</v>
      </c>
      <c r="I22" s="266">
        <f t="shared" si="8"/>
        <v>19549.317442408319</v>
      </c>
      <c r="J22" s="266">
        <f t="shared" si="8"/>
        <v>20135.796965680573</v>
      </c>
      <c r="K22" s="266">
        <f t="shared" si="8"/>
        <v>20739.87087465098</v>
      </c>
      <c r="L22" s="266">
        <f t="shared" si="8"/>
        <v>21362.067000890511</v>
      </c>
      <c r="M22" s="266">
        <f t="shared" si="8"/>
        <v>22002.929010917233</v>
      </c>
      <c r="N22" s="266">
        <f t="shared" si="8"/>
        <v>22663.016881244737</v>
      </c>
    </row>
    <row r="23" spans="1:14" ht="19.5" thickBot="1">
      <c r="A23" s="260"/>
      <c r="B23" s="401"/>
      <c r="C23" s="312"/>
      <c r="D23" s="312"/>
      <c r="E23" s="312"/>
      <c r="F23" s="312"/>
      <c r="G23" s="312"/>
      <c r="H23" s="312"/>
      <c r="I23" s="312"/>
      <c r="J23" s="312"/>
      <c r="K23" s="312"/>
      <c r="L23" s="312"/>
      <c r="M23" s="312"/>
      <c r="N23" s="312">
        <f>N22/(N43-3%)</f>
        <v>670819.31887458928</v>
      </c>
    </row>
    <row r="24" spans="1:14" s="43" customFormat="1" ht="19.5" thickBot="1">
      <c r="A24" s="264"/>
      <c r="B24" s="376"/>
      <c r="C24" s="256"/>
      <c r="D24" s="256"/>
      <c r="E24" s="256"/>
      <c r="F24" s="256"/>
      <c r="G24" s="256"/>
      <c r="H24" s="256"/>
      <c r="I24" s="256"/>
      <c r="J24" s="256"/>
      <c r="K24" s="256"/>
      <c r="L24" s="256"/>
      <c r="M24" s="256"/>
      <c r="N24" s="256"/>
    </row>
    <row r="25" spans="1:14" s="33" customFormat="1" ht="18.75">
      <c r="A25" s="260"/>
      <c r="B25" s="402" t="s">
        <v>215</v>
      </c>
      <c r="C25" s="333">
        <f>'Projection-Future CF- AM '!C15</f>
        <v>14956</v>
      </c>
      <c r="D25" s="333">
        <f>'Projection-Future CF- AM '!D15</f>
        <v>1297</v>
      </c>
      <c r="E25" s="333">
        <f>'Projection-Future CF- AM '!E15</f>
        <v>3094.5</v>
      </c>
      <c r="F25" s="333">
        <f>'Projection-Future CF- AM '!F15</f>
        <v>3187.3350000000064</v>
      </c>
      <c r="G25" s="333">
        <f>'Projection-Future CF- AM '!G15</f>
        <v>3282.9550500000041</v>
      </c>
      <c r="H25" s="333">
        <f>'Projection-Future CF- AM '!H15</f>
        <v>3381.4437015000003</v>
      </c>
      <c r="I25" s="333">
        <f>'Projection-Future CF- AM '!I15</f>
        <v>3482.8870125450048</v>
      </c>
      <c r="J25" s="333">
        <f>'Projection-Future CF- AM '!J15</f>
        <v>3587.3736229213537</v>
      </c>
      <c r="K25" s="333">
        <f>'Projection-Future CF- AM '!K15</f>
        <v>3694.9948316090013</v>
      </c>
      <c r="L25" s="333">
        <f>'Projection-Future CF- AM '!L15</f>
        <v>3805.8446765572589</v>
      </c>
      <c r="M25" s="333">
        <f>'Projection-Future CF- AM '!M15</f>
        <v>3920.0200168539741</v>
      </c>
      <c r="N25" s="333">
        <f>'Projection-Future CF- AM '!N15</f>
        <v>4037.6206173596147</v>
      </c>
    </row>
    <row r="26" spans="1:14" s="33" customFormat="1" ht="18.75">
      <c r="A26" s="260"/>
      <c r="B26" s="403" t="s">
        <v>216</v>
      </c>
      <c r="C26" s="334">
        <f>'Projection-Future CF SUMCOMPANY'!F15</f>
        <v>1563.444604809054</v>
      </c>
      <c r="D26" s="334">
        <f>'Projection-Future CF SUMCOMPANY'!G15</f>
        <v>1610.3479429533254</v>
      </c>
      <c r="E26" s="334">
        <f>'Projection-Future CF SUMCOMPANY'!H15</f>
        <v>1658.6583812419267</v>
      </c>
      <c r="F26" s="334">
        <f>'Projection-Future CF SUMCOMPANY'!I15</f>
        <v>1708.4181326791804</v>
      </c>
      <c r="G26" s="334">
        <f>'Projection-Future CF SUMCOMPANY'!J15</f>
        <v>1759.6706766595598</v>
      </c>
      <c r="H26" s="334">
        <f>'Projection-Future CF SUMCOMPANY'!K15</f>
        <v>1812.460796959349</v>
      </c>
      <c r="I26" s="334">
        <f>'Projection-Future CF SUMCOMPANY'!L15</f>
        <v>1866.8346208681251</v>
      </c>
      <c r="J26" s="334">
        <f>'Projection-Future CF SUMCOMPANY'!M15</f>
        <v>1922.8396594941732</v>
      </c>
      <c r="K26" s="334">
        <f>'Projection-Future CF SUMCOMPANY'!N15</f>
        <v>1980.5248492789979</v>
      </c>
      <c r="L26" s="334">
        <f>'Projection-Future CF SUMCOMPANY'!O15</f>
        <v>2039.9405947573687</v>
      </c>
      <c r="M26" s="334">
        <f>'Projection-Future CF SUMCOMPANY'!P15</f>
        <v>2101.138812600082</v>
      </c>
      <c r="N26" s="334">
        <f>'Projection-Future CF SUMCOMPANY'!Q15</f>
        <v>2164.1729769780941</v>
      </c>
    </row>
    <row r="27" spans="1:14" s="33" customFormat="1" ht="19.5" thickBot="1">
      <c r="A27" s="260"/>
      <c r="B27" s="403" t="s">
        <v>206</v>
      </c>
      <c r="C27" s="334">
        <f>+C26-C25</f>
        <v>-13392.555395190946</v>
      </c>
      <c r="D27" s="334">
        <f t="shared" ref="D27:N27" si="9">+D26-D25</f>
        <v>313.3479429533254</v>
      </c>
      <c r="E27" s="334">
        <f t="shared" si="9"/>
        <v>-1435.8416187580733</v>
      </c>
      <c r="F27" s="334">
        <f t="shared" si="9"/>
        <v>-1478.916867320826</v>
      </c>
      <c r="G27" s="334">
        <f t="shared" si="9"/>
        <v>-1523.2843733404443</v>
      </c>
      <c r="H27" s="334">
        <f t="shared" si="9"/>
        <v>-1568.9829045406514</v>
      </c>
      <c r="I27" s="334">
        <f t="shared" si="9"/>
        <v>-1616.0523916768798</v>
      </c>
      <c r="J27" s="334">
        <f t="shared" si="9"/>
        <v>-1664.5339634271804</v>
      </c>
      <c r="K27" s="334">
        <f t="shared" si="9"/>
        <v>-1714.4699823300034</v>
      </c>
      <c r="L27" s="334">
        <f t="shared" si="9"/>
        <v>-1765.9040817998903</v>
      </c>
      <c r="M27" s="334">
        <f t="shared" si="9"/>
        <v>-1818.8812042538921</v>
      </c>
      <c r="N27" s="334">
        <f t="shared" si="9"/>
        <v>-1873.4476403815206</v>
      </c>
    </row>
    <row r="28" spans="1:14" s="33" customFormat="1" ht="18.75">
      <c r="A28" s="260"/>
      <c r="B28" s="404" t="s">
        <v>234</v>
      </c>
      <c r="C28" s="335"/>
      <c r="D28" s="335"/>
      <c r="E28" s="335"/>
      <c r="F28" s="335"/>
      <c r="G28" s="335"/>
      <c r="H28" s="335"/>
      <c r="I28" s="335"/>
      <c r="J28" s="335"/>
      <c r="K28" s="335"/>
      <c r="L28" s="335"/>
      <c r="M28" s="335"/>
      <c r="N28" s="335">
        <f>N27/(N36-0.03)</f>
        <v>-36832.778328984634</v>
      </c>
    </row>
    <row r="29" spans="1:14" s="33" customFormat="1" ht="18.75">
      <c r="A29" s="260"/>
      <c r="B29" s="405" t="s">
        <v>236</v>
      </c>
      <c r="C29" s="336">
        <f t="shared" ref="C29:M29" si="10">C27*C37</f>
        <v>-13392.555395190946</v>
      </c>
      <c r="D29" s="336">
        <f t="shared" si="10"/>
        <v>286.1653356831518</v>
      </c>
      <c r="E29" s="336">
        <f t="shared" si="10"/>
        <v>-1250.790396461161</v>
      </c>
      <c r="F29" s="336">
        <f t="shared" si="10"/>
        <v>-1199.3166932281056</v>
      </c>
      <c r="G29" s="336">
        <f t="shared" si="10"/>
        <v>-1147.3563827369808</v>
      </c>
      <c r="H29" s="336">
        <f t="shared" si="10"/>
        <v>-1095.5013110790201</v>
      </c>
      <c r="I29" s="336">
        <f t="shared" si="10"/>
        <v>-1044.9683684845284</v>
      </c>
      <c r="J29" s="336">
        <f t="shared" si="10"/>
        <v>-995.79393867751548</v>
      </c>
      <c r="K29" s="336">
        <f t="shared" si="10"/>
        <v>-948.93357369751732</v>
      </c>
      <c r="L29" s="336">
        <f t="shared" si="10"/>
        <v>-904.27837776710726</v>
      </c>
      <c r="M29" s="336">
        <f t="shared" si="10"/>
        <v>-861.72457910474088</v>
      </c>
      <c r="N29" s="336">
        <f>N27*N37+N28*N37</f>
        <v>-16965.789818486766</v>
      </c>
    </row>
    <row r="30" spans="1:14" s="43" customFormat="1" ht="19.5" thickBot="1">
      <c r="A30" s="264"/>
      <c r="B30" s="406" t="s">
        <v>232</v>
      </c>
      <c r="C30" s="337">
        <f>SUM(C29:N29)</f>
        <v>-39520.84349923124</v>
      </c>
      <c r="D30" s="337"/>
      <c r="E30" s="337"/>
      <c r="F30" s="337"/>
      <c r="G30" s="337"/>
      <c r="H30" s="337"/>
      <c r="I30" s="337"/>
      <c r="J30" s="337"/>
      <c r="K30" s="337"/>
      <c r="L30" s="337"/>
      <c r="M30" s="337"/>
      <c r="N30" s="337"/>
    </row>
    <row r="31" spans="1:14" s="43" customFormat="1" ht="19.5" thickBot="1">
      <c r="A31" s="264"/>
      <c r="B31" s="415"/>
      <c r="C31" s="258"/>
      <c r="D31" s="258"/>
      <c r="E31" s="258"/>
      <c r="F31" s="258"/>
      <c r="G31" s="258"/>
      <c r="H31" s="258"/>
      <c r="I31" s="258"/>
      <c r="J31" s="258"/>
      <c r="K31" s="258"/>
      <c r="L31" s="258"/>
      <c r="M31" s="258"/>
      <c r="N31" s="258"/>
    </row>
    <row r="32" spans="1:14" s="33" customFormat="1" ht="18.75">
      <c r="A32" s="260"/>
      <c r="B32" s="404" t="s">
        <v>221</v>
      </c>
      <c r="C32" s="338">
        <f>C22+C27</f>
        <v>-11101.928451378926</v>
      </c>
      <c r="D32" s="338">
        <f t="shared" ref="D32:N32" si="11">D22+D27</f>
        <v>290.80387507970045</v>
      </c>
      <c r="E32" s="338">
        <f t="shared" si="11"/>
        <v>4090.7279473320859</v>
      </c>
      <c r="F32" s="338">
        <f t="shared" si="11"/>
        <v>10572.120557952021</v>
      </c>
      <c r="G32" s="338">
        <f t="shared" si="11"/>
        <v>14369.531432370575</v>
      </c>
      <c r="H32" s="338">
        <f t="shared" si="11"/>
        <v>17410.936942457716</v>
      </c>
      <c r="I32" s="338">
        <f t="shared" si="11"/>
        <v>17933.265050731439</v>
      </c>
      <c r="J32" s="338">
        <f t="shared" si="11"/>
        <v>18471.263002253392</v>
      </c>
      <c r="K32" s="338">
        <f t="shared" si="11"/>
        <v>19025.400892320977</v>
      </c>
      <c r="L32" s="338">
        <f t="shared" si="11"/>
        <v>19596.162919090621</v>
      </c>
      <c r="M32" s="338">
        <f t="shared" si="11"/>
        <v>20184.04780666334</v>
      </c>
      <c r="N32" s="335">
        <f t="shared" si="11"/>
        <v>20789.569240863217</v>
      </c>
    </row>
    <row r="33" spans="1:14" s="33" customFormat="1" ht="18.75">
      <c r="A33" s="260"/>
      <c r="B33" s="405" t="s">
        <v>208</v>
      </c>
      <c r="C33" s="339"/>
      <c r="D33" s="339"/>
      <c r="E33" s="339"/>
      <c r="F33" s="339"/>
      <c r="G33" s="339"/>
      <c r="H33" s="339"/>
      <c r="I33" s="339"/>
      <c r="J33" s="339"/>
      <c r="K33" s="339"/>
      <c r="L33" s="339"/>
      <c r="M33" s="339"/>
      <c r="N33" s="336">
        <f>N32/(N36-0.03)</f>
        <v>408731.78353031131</v>
      </c>
    </row>
    <row r="34" spans="1:14" s="33" customFormat="1" ht="19.5" thickBot="1">
      <c r="A34" s="260"/>
      <c r="B34" s="406" t="s">
        <v>207</v>
      </c>
      <c r="C34" s="340">
        <f>SUM(C32:C33)</f>
        <v>-11101.928451378926</v>
      </c>
      <c r="D34" s="340">
        <f t="shared" ref="D34:M34" si="12">SUM(D32:D33)</f>
        <v>290.80387507970045</v>
      </c>
      <c r="E34" s="340">
        <f t="shared" si="12"/>
        <v>4090.7279473320859</v>
      </c>
      <c r="F34" s="340">
        <f t="shared" si="12"/>
        <v>10572.120557952021</v>
      </c>
      <c r="G34" s="340">
        <f t="shared" si="12"/>
        <v>14369.531432370575</v>
      </c>
      <c r="H34" s="340">
        <f t="shared" si="12"/>
        <v>17410.936942457716</v>
      </c>
      <c r="I34" s="340">
        <f t="shared" si="12"/>
        <v>17933.265050731439</v>
      </c>
      <c r="J34" s="340">
        <f t="shared" si="12"/>
        <v>18471.263002253392</v>
      </c>
      <c r="K34" s="340">
        <f t="shared" si="12"/>
        <v>19025.400892320977</v>
      </c>
      <c r="L34" s="340">
        <f t="shared" si="12"/>
        <v>19596.162919090621</v>
      </c>
      <c r="M34" s="340">
        <f t="shared" si="12"/>
        <v>20184.04780666334</v>
      </c>
      <c r="N34" s="337">
        <f>SUM(N32:N33)</f>
        <v>429521.35277117451</v>
      </c>
    </row>
    <row r="35" spans="1:14" s="43" customFormat="1" ht="19.5" thickBot="1">
      <c r="A35" s="264"/>
      <c r="B35" s="407"/>
      <c r="C35" s="257"/>
      <c r="D35" s="257"/>
      <c r="E35" s="257"/>
      <c r="F35" s="257"/>
      <c r="G35" s="257"/>
      <c r="H35" s="257"/>
      <c r="I35" s="257"/>
      <c r="J35" s="257"/>
      <c r="K35" s="257"/>
      <c r="L35" s="257"/>
      <c r="M35" s="257"/>
      <c r="N35" s="257"/>
    </row>
    <row r="36" spans="1:14" ht="18.75">
      <c r="A36" s="260"/>
      <c r="B36" s="388" t="s">
        <v>222</v>
      </c>
      <c r="C36" s="341">
        <f>'Projection-Future CF SUMCOMPANY'!F18</f>
        <v>8.4535521487352216E-2</v>
      </c>
      <c r="D36" s="341">
        <f>'Projection-Future CF SUMCOMPANY'!G18</f>
        <v>9.4989168430486437E-2</v>
      </c>
      <c r="E36" s="341">
        <f>'Projection-Future CF SUMCOMPANY'!H18</f>
        <v>4.8364185907008306E-2</v>
      </c>
      <c r="F36" s="341">
        <f>'Projection-Future CF SUMCOMPANY'!I18</f>
        <v>7.4206767594764411E-2</v>
      </c>
      <c r="G36" s="341">
        <f>'Projection-Future CF SUMCOMPANY'!J18</f>
        <v>7.6645593828645664E-2</v>
      </c>
      <c r="H36" s="341">
        <f>'Projection-Future CF SUMCOMPANY'!K18</f>
        <v>7.8754595971306962E-2</v>
      </c>
      <c r="I36" s="341">
        <f>'Projection-Future CF SUMCOMPANY'!L18</f>
        <v>7.9809097042637722E-2</v>
      </c>
      <c r="J36" s="341">
        <f>'Projection-Future CF SUMCOMPANY'!M18</f>
        <v>8.0863598113968926E-2</v>
      </c>
      <c r="K36" s="341">
        <f>'Projection-Future CF SUMCOMPANY'!N18</f>
        <v>8.0863598113968704E-2</v>
      </c>
      <c r="L36" s="341">
        <f>'Projection-Future CF SUMCOMPANY'!O18</f>
        <v>8.0863597913164886E-2</v>
      </c>
      <c r="M36" s="341">
        <f>'Projection-Future CF SUMCOMPANY'!P18</f>
        <v>8.0863598050987529E-2</v>
      </c>
      <c r="N36" s="342">
        <f>'Projection-Future CF SUMCOMPANY'!Q18</f>
        <v>8.0863598277821414E-2</v>
      </c>
    </row>
    <row r="37" spans="1:14" ht="19.5" thickBot="1">
      <c r="A37" s="260"/>
      <c r="B37" s="399" t="s">
        <v>223</v>
      </c>
      <c r="C37" s="332">
        <f>'Projection-Future CF SUMCOMPANY'!F19</f>
        <v>1</v>
      </c>
      <c r="D37" s="332">
        <f>'Projection-Future CF SUMCOMPANY'!G19</f>
        <v>0.91325104286954717</v>
      </c>
      <c r="E37" s="332">
        <f>'Projection-Future CF SUMCOMPANY'!H19</f>
        <v>0.87112003170867014</v>
      </c>
      <c r="F37" s="332">
        <f>'Projection-Future CF SUMCOMPANY'!I19</f>
        <v>0.8109426024741756</v>
      </c>
      <c r="G37" s="332">
        <f>'Projection-Future CF SUMCOMPANY'!J19</f>
        <v>0.75321220569007574</v>
      </c>
      <c r="H37" s="332">
        <f>'Projection-Future CF SUMCOMPANY'!K19</f>
        <v>0.69822386713623774</v>
      </c>
      <c r="I37" s="332">
        <f>'Projection-Future CF SUMCOMPANY'!L19</f>
        <v>0.64661787814949978</v>
      </c>
      <c r="J37" s="332">
        <f>'Projection-Future CF SUMCOMPANY'!M19</f>
        <v>0.59824188665230515</v>
      </c>
      <c r="K37" s="332">
        <f>'Projection-Future CF SUMCOMPANY'!N19</f>
        <v>0.55348509071467977</v>
      </c>
      <c r="L37" s="332">
        <f>'Projection-Future CF SUMCOMPANY'!O19</f>
        <v>0.51207672437419438</v>
      </c>
      <c r="M37" s="332">
        <f>'Projection-Future CF SUMCOMPANY'!P19</f>
        <v>0.47376627846249125</v>
      </c>
      <c r="N37" s="327">
        <f>'Projection-Future CF SUMCOMPANY'!Q19</f>
        <v>0.43832198550988299</v>
      </c>
    </row>
    <row r="38" spans="1:14" ht="18.75">
      <c r="A38" s="260"/>
      <c r="B38" s="400" t="s">
        <v>224</v>
      </c>
      <c r="C38" s="330">
        <f>C34*C37</f>
        <v>-11101.928451378926</v>
      </c>
      <c r="D38" s="330">
        <f t="shared" ref="D38:M38" si="13">D34*D37</f>
        <v>265.57694218704194</v>
      </c>
      <c r="E38" s="330">
        <f t="shared" si="13"/>
        <v>3563.5150591914698</v>
      </c>
      <c r="F38" s="330">
        <f t="shared" si="13"/>
        <v>8573.3829589363449</v>
      </c>
      <c r="G38" s="330">
        <f t="shared" si="13"/>
        <v>10823.306464908714</v>
      </c>
      <c r="H38" s="330">
        <f t="shared" si="13"/>
        <v>12156.73172242801</v>
      </c>
      <c r="I38" s="330">
        <f t="shared" si="13"/>
        <v>11595.969795396544</v>
      </c>
      <c r="J38" s="330">
        <f t="shared" si="13"/>
        <v>11050.283227318992</v>
      </c>
      <c r="K38" s="330">
        <f t="shared" si="13"/>
        <v>10530.275738769426</v>
      </c>
      <c r="L38" s="330">
        <f t="shared" si="13"/>
        <v>10034.738917910976</v>
      </c>
      <c r="M38" s="330">
        <f t="shared" si="13"/>
        <v>9562.5212136719001</v>
      </c>
      <c r="N38" s="266">
        <f>N34*N37</f>
        <v>188268.65216555211</v>
      </c>
    </row>
    <row r="39" spans="1:14" ht="19.5" thickBot="1">
      <c r="A39" s="260"/>
      <c r="B39" s="401" t="s">
        <v>225</v>
      </c>
      <c r="C39" s="311">
        <f>SUM(C38:N38)</f>
        <v>265323.02575489262</v>
      </c>
      <c r="D39" s="311"/>
      <c r="E39" s="311"/>
      <c r="F39" s="311"/>
      <c r="G39" s="311"/>
      <c r="H39" s="311"/>
      <c r="I39" s="311"/>
      <c r="J39" s="311"/>
      <c r="K39" s="311"/>
      <c r="L39" s="311"/>
      <c r="M39" s="311"/>
      <c r="N39" s="312"/>
    </row>
    <row r="40" spans="1:14" s="43" customFormat="1" ht="15.75" thickBot="1">
      <c r="A40" s="264"/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</row>
    <row r="41" spans="1:14" ht="18.75">
      <c r="A41" s="260"/>
      <c r="B41" s="400" t="s">
        <v>226</v>
      </c>
      <c r="C41" s="266">
        <f t="shared" ref="C41:N41" si="14">C32+C42</f>
        <v>-11101.928451378926</v>
      </c>
      <c r="D41" s="266">
        <f t="shared" si="14"/>
        <v>290.80387507970045</v>
      </c>
      <c r="E41" s="266">
        <f t="shared" si="14"/>
        <v>4090.7279473320859</v>
      </c>
      <c r="F41" s="266">
        <f t="shared" si="14"/>
        <v>10572.120557952021</v>
      </c>
      <c r="G41" s="266">
        <f t="shared" si="14"/>
        <v>14369.531432370575</v>
      </c>
      <c r="H41" s="266">
        <f t="shared" si="14"/>
        <v>17410.936942457716</v>
      </c>
      <c r="I41" s="266">
        <f t="shared" si="14"/>
        <v>17933.265050731439</v>
      </c>
      <c r="J41" s="266">
        <f t="shared" si="14"/>
        <v>18471.263002253392</v>
      </c>
      <c r="K41" s="266">
        <f t="shared" si="14"/>
        <v>19025.400892320977</v>
      </c>
      <c r="L41" s="266">
        <f t="shared" si="14"/>
        <v>19596.162919090621</v>
      </c>
      <c r="M41" s="266">
        <f t="shared" si="14"/>
        <v>20184.04780666334</v>
      </c>
      <c r="N41" s="266">
        <f t="shared" si="14"/>
        <v>636155.33236630668</v>
      </c>
    </row>
    <row r="42" spans="1:14" ht="19.5" thickBot="1">
      <c r="A42" s="260"/>
      <c r="B42" s="401" t="s">
        <v>209</v>
      </c>
      <c r="C42" s="312"/>
      <c r="D42" s="312"/>
      <c r="E42" s="312"/>
      <c r="F42" s="312"/>
      <c r="G42" s="312"/>
      <c r="H42" s="312"/>
      <c r="I42" s="312"/>
      <c r="J42" s="312"/>
      <c r="K42" s="312"/>
      <c r="L42" s="312"/>
      <c r="M42" s="312"/>
      <c r="N42" s="312">
        <f>N32/(N43-0.03)</f>
        <v>615365.76312544348</v>
      </c>
    </row>
    <row r="43" spans="1:14" ht="18.75">
      <c r="A43" s="260"/>
      <c r="B43" s="399" t="s">
        <v>203</v>
      </c>
      <c r="C43" s="332">
        <f>'Projection-Future CF- AM '!C18</f>
        <v>7.9372594929985524E-2</v>
      </c>
      <c r="D43" s="332">
        <f>'Projection-Future CF- AM '!D18</f>
        <v>6.5596416097468954E-2</v>
      </c>
      <c r="E43" s="332">
        <f>'Projection-Future CF- AM '!E18</f>
        <v>3.1798219513967219E-2</v>
      </c>
      <c r="F43" s="332">
        <f>'Projection-Future CF- AM '!F18</f>
        <v>5.7232443738254313E-2</v>
      </c>
      <c r="G43" s="332">
        <f>'Projection-Future CF- AM '!G18</f>
        <v>5.9632732301761138E-2</v>
      </c>
      <c r="H43" s="332">
        <f>'Projection-Future CF- AM '!H18</f>
        <v>6.1708408564840056E-2</v>
      </c>
      <c r="I43" s="332">
        <f>'Projection-Future CF- AM '!I18</f>
        <v>6.2746246696379293E-2</v>
      </c>
      <c r="J43" s="332">
        <f>'Projection-Future CF- AM '!J18</f>
        <v>6.3784084827919418E-2</v>
      </c>
      <c r="K43" s="332">
        <f>'Projection-Future CF- AM '!K18</f>
        <v>6.3784084827919196E-2</v>
      </c>
      <c r="L43" s="332">
        <f>'Projection-Future CF- AM '!L18</f>
        <v>6.3784084630288396E-2</v>
      </c>
      <c r="M43" s="332">
        <f>'Projection-Future CF- AM '!M18</f>
        <v>6.3784084765933224E-2</v>
      </c>
      <c r="N43" s="327">
        <f>'Projection-Future CF- AM '!N18</f>
        <v>6.3784084989182643E-2</v>
      </c>
    </row>
    <row r="44" spans="1:14" ht="19.5" thickBot="1">
      <c r="A44" s="260"/>
      <c r="B44" s="408" t="s">
        <v>204</v>
      </c>
      <c r="C44" s="343">
        <f>'Projection-Future CF- AM '!C19</f>
        <v>1</v>
      </c>
      <c r="D44" s="343">
        <f>'Projection-Future CF- AM '!D19</f>
        <v>0.93844159467267874</v>
      </c>
      <c r="E44" s="343">
        <f>'Projection-Future CF- AM '!E19</f>
        <v>0.90952046332735048</v>
      </c>
      <c r="F44" s="343">
        <f>'Projection-Future CF- AM '!F19</f>
        <v>0.86028429104141846</v>
      </c>
      <c r="G44" s="343">
        <f>'Projection-Future CF- AM '!G19</f>
        <v>0.81187024977294442</v>
      </c>
      <c r="H44" s="343">
        <f>'Projection-Future CF- AM '!H19</f>
        <v>0.76468288583151245</v>
      </c>
      <c r="I44" s="343">
        <f>'Projection-Future CF- AM '!I19</f>
        <v>0.71953477907692676</v>
      </c>
      <c r="J44" s="343">
        <f>'Projection-Future CF- AM '!J19</f>
        <v>0.67639175029895338</v>
      </c>
      <c r="K44" s="343">
        <f>'Projection-Future CF- AM '!K19</f>
        <v>0.63583556094314797</v>
      </c>
      <c r="L44" s="343">
        <f>'Projection-Future CF- AM '!L19</f>
        <v>0.59771110522313253</v>
      </c>
      <c r="M44" s="343">
        <f>'Projection-Future CF- AM '!M19</f>
        <v>0.56187257713547034</v>
      </c>
      <c r="N44" s="344">
        <f>'Projection-Future CF- AM '!N19</f>
        <v>0.52818291330348666</v>
      </c>
    </row>
    <row r="45" spans="1:14" ht="18.75">
      <c r="A45" s="260"/>
      <c r="B45" s="409" t="s">
        <v>224</v>
      </c>
      <c r="C45" s="274">
        <f t="shared" ref="C45:N45" si="15">C41*C44</f>
        <v>-11101.928451378926</v>
      </c>
      <c r="D45" s="274">
        <f t="shared" si="15"/>
        <v>272.90245226678854</v>
      </c>
      <c r="E45" s="274">
        <f t="shared" si="15"/>
        <v>3720.6007780036202</v>
      </c>
      <c r="F45" s="274">
        <f t="shared" si="15"/>
        <v>9095.0292390021605</v>
      </c>
      <c r="G45" s="274">
        <f t="shared" si="15"/>
        <v>11666.195073118875</v>
      </c>
      <c r="H45" s="274">
        <f t="shared" si="15"/>
        <v>13313.845506189056</v>
      </c>
      <c r="I45" s="274">
        <f t="shared" si="15"/>
        <v>12903.607906406018</v>
      </c>
      <c r="J45" s="274">
        <f t="shared" si="15"/>
        <v>12493.809912326473</v>
      </c>
      <c r="K45" s="274">
        <f t="shared" si="15"/>
        <v>12097.026448537175</v>
      </c>
      <c r="L45" s="274">
        <f t="shared" si="15"/>
        <v>11712.844196502221</v>
      </c>
      <c r="M45" s="274">
        <f t="shared" si="15"/>
        <v>11340.862958155469</v>
      </c>
      <c r="N45" s="267">
        <f t="shared" si="15"/>
        <v>336006.37676278368</v>
      </c>
    </row>
    <row r="46" spans="1:14" ht="19.5" thickBot="1">
      <c r="A46" s="260"/>
      <c r="B46" s="401" t="s">
        <v>227</v>
      </c>
      <c r="C46" s="311">
        <f>SUM(C45:N45)</f>
        <v>423521.17278191261</v>
      </c>
      <c r="D46" s="311"/>
      <c r="E46" s="311"/>
      <c r="F46" s="311"/>
      <c r="G46" s="311"/>
      <c r="H46" s="311"/>
      <c r="I46" s="311"/>
      <c r="J46" s="311"/>
      <c r="K46" s="311"/>
      <c r="L46" s="311"/>
      <c r="M46" s="311"/>
      <c r="N46" s="312"/>
    </row>
    <row r="47" spans="1:14" s="43" customFormat="1" ht="19.5" thickBot="1">
      <c r="A47" s="264"/>
      <c r="B47" s="37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</row>
    <row r="48" spans="1:14" ht="18.75">
      <c r="A48" s="260"/>
      <c r="B48" s="400" t="s">
        <v>205</v>
      </c>
      <c r="C48" s="266">
        <f t="shared" ref="C48:N48" si="16">C45-C38</f>
        <v>0</v>
      </c>
      <c r="D48" s="266">
        <f t="shared" si="16"/>
        <v>7.3255100797466071</v>
      </c>
      <c r="E48" s="266">
        <f t="shared" si="16"/>
        <v>157.08571881215039</v>
      </c>
      <c r="F48" s="266">
        <f t="shared" si="16"/>
        <v>521.64628006581552</v>
      </c>
      <c r="G48" s="266">
        <f t="shared" si="16"/>
        <v>842.88860821016169</v>
      </c>
      <c r="H48" s="266">
        <f t="shared" si="16"/>
        <v>1157.1137837610459</v>
      </c>
      <c r="I48" s="266">
        <f t="shared" si="16"/>
        <v>1307.6381110094735</v>
      </c>
      <c r="J48" s="266">
        <f t="shared" si="16"/>
        <v>1443.5266850074804</v>
      </c>
      <c r="K48" s="266">
        <f t="shared" si="16"/>
        <v>1566.7507097677499</v>
      </c>
      <c r="L48" s="266">
        <f t="shared" si="16"/>
        <v>1678.1052785912452</v>
      </c>
      <c r="M48" s="266">
        <f t="shared" si="16"/>
        <v>1778.3417444835686</v>
      </c>
      <c r="N48" s="266">
        <f t="shared" si="16"/>
        <v>147737.72459723157</v>
      </c>
    </row>
    <row r="49" spans="1:14" ht="19.5" thickBot="1">
      <c r="A49" s="260"/>
      <c r="B49" s="401" t="s">
        <v>233</v>
      </c>
      <c r="C49" s="312">
        <f>C46-C39</f>
        <v>158198.14702701999</v>
      </c>
      <c r="D49" s="312"/>
      <c r="E49" s="312"/>
      <c r="F49" s="312"/>
      <c r="G49" s="312"/>
      <c r="H49" s="312"/>
      <c r="I49" s="312"/>
      <c r="J49" s="312"/>
      <c r="K49" s="312"/>
      <c r="L49" s="312"/>
      <c r="M49" s="312"/>
      <c r="N49" s="312"/>
    </row>
    <row r="50" spans="1:14">
      <c r="A50" s="260"/>
      <c r="B50" s="372"/>
      <c r="C50" s="410"/>
      <c r="D50" s="410"/>
      <c r="E50" s="410"/>
      <c r="F50" s="410"/>
      <c r="G50" s="410"/>
      <c r="H50" s="410"/>
      <c r="I50" s="410"/>
      <c r="J50" s="410"/>
      <c r="K50" s="410"/>
      <c r="L50" s="410"/>
      <c r="M50" s="410"/>
      <c r="N50" s="410"/>
    </row>
    <row r="51" spans="1:14">
      <c r="A51" s="260"/>
      <c r="B51" s="372"/>
      <c r="C51" s="411"/>
      <c r="D51" s="411"/>
      <c r="E51" s="411"/>
      <c r="F51" s="411"/>
      <c r="G51" s="411"/>
      <c r="H51" s="411"/>
      <c r="I51" s="411"/>
      <c r="J51" s="411"/>
      <c r="K51" s="411"/>
      <c r="L51" s="411"/>
      <c r="M51" s="411"/>
      <c r="N51" s="411"/>
    </row>
    <row r="52" spans="1:14">
      <c r="A52" s="260"/>
      <c r="B52" s="372"/>
      <c r="C52" s="410"/>
      <c r="D52" s="410"/>
      <c r="E52" s="410"/>
      <c r="F52" s="410"/>
      <c r="G52" s="410"/>
      <c r="H52" s="410"/>
      <c r="I52" s="410"/>
      <c r="J52" s="410"/>
      <c r="K52" s="410"/>
      <c r="L52" s="410"/>
      <c r="M52" s="410"/>
      <c r="N52" s="410"/>
    </row>
    <row r="53" spans="1:14">
      <c r="A53" s="260"/>
      <c r="B53" s="372"/>
      <c r="C53" s="412"/>
      <c r="D53" s="412"/>
      <c r="E53" s="412"/>
      <c r="F53" s="412"/>
      <c r="G53" s="412"/>
      <c r="H53" s="412"/>
      <c r="I53" s="412"/>
      <c r="J53" s="412"/>
      <c r="K53" s="412"/>
      <c r="L53" s="412"/>
      <c r="M53" s="412"/>
      <c r="N53" s="412"/>
    </row>
    <row r="54" spans="1:14">
      <c r="A54" s="260"/>
      <c r="B54" s="372"/>
      <c r="C54" s="372"/>
      <c r="D54" s="372"/>
      <c r="E54" s="372"/>
      <c r="F54" s="372"/>
      <c r="G54" s="372"/>
      <c r="H54" s="372"/>
      <c r="I54" s="372"/>
      <c r="J54" s="372"/>
      <c r="K54" s="372"/>
      <c r="L54" s="372"/>
      <c r="M54" s="372"/>
      <c r="N54" s="372"/>
    </row>
    <row r="55" spans="1:14">
      <c r="A55" s="260"/>
      <c r="B55" s="372"/>
      <c r="C55" s="412"/>
      <c r="D55" s="412"/>
      <c r="E55" s="412"/>
      <c r="F55" s="412"/>
      <c r="G55" s="412"/>
      <c r="H55" s="412"/>
      <c r="I55" s="412"/>
      <c r="J55" s="412"/>
      <c r="K55" s="412"/>
      <c r="L55" s="412"/>
      <c r="M55" s="412"/>
      <c r="N55" s="412"/>
    </row>
    <row r="56" spans="1:14">
      <c r="A56" s="260"/>
      <c r="B56" s="372"/>
      <c r="C56" s="372"/>
      <c r="D56" s="372"/>
      <c r="E56" s="372"/>
      <c r="F56" s="372"/>
      <c r="G56" s="372"/>
      <c r="H56" s="372"/>
      <c r="I56" s="372"/>
      <c r="J56" s="372"/>
      <c r="K56" s="372"/>
      <c r="L56" s="372"/>
      <c r="M56" s="372"/>
      <c r="N56" s="372"/>
    </row>
    <row r="57" spans="1:14">
      <c r="A57" s="260"/>
      <c r="B57" s="372"/>
      <c r="C57" s="372"/>
      <c r="D57" s="372"/>
      <c r="E57" s="372"/>
      <c r="F57" s="372"/>
      <c r="G57" s="372"/>
      <c r="H57" s="372"/>
      <c r="I57" s="372"/>
      <c r="J57" s="372"/>
      <c r="K57" s="372"/>
      <c r="L57" s="372"/>
      <c r="M57" s="372"/>
      <c r="N57" s="372"/>
    </row>
  </sheetData>
  <phoneticPr fontId="7" type="noConversion"/>
  <hyperlinks>
    <hyperlink ref="B46" r:id="rId1" display="PV@new WACC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Finacial Data</vt:lpstr>
      <vt:lpstr>Arcelor and Mittal in detail</vt:lpstr>
      <vt:lpstr>Summed Company request data</vt:lpstr>
      <vt:lpstr>New company requested data</vt:lpstr>
      <vt:lpstr>WACC calculation</vt:lpstr>
      <vt:lpstr>WACC projection</vt:lpstr>
      <vt:lpstr>Projection-Future CF SUMCOMPANY</vt:lpstr>
      <vt:lpstr>Projection-Future CF- AM </vt:lpstr>
      <vt:lpstr>Incremental CF</vt:lpstr>
      <vt:lpstr>Synergies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Bruno</cp:lastModifiedBy>
  <cp:lastPrinted>2010-03-16T14:09:23Z</cp:lastPrinted>
  <dcterms:created xsi:type="dcterms:W3CDTF">2009-10-26T15:51:07Z</dcterms:created>
  <dcterms:modified xsi:type="dcterms:W3CDTF">2010-04-26T21:11:59Z</dcterms:modified>
</cp:coreProperties>
</file>